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workbookProtection workbookAlgorithmName="SHA-512" workbookHashValue="UoMWB0TtvZmGlgMS5/DVxv8P30MMoRv8+OXQ8NXpW8IzSCDLz3y+h9ALE3Xv+foZL1F5NKxqnJTUAd5DW8k5Ow==" workbookSaltValue="Am9iGQA5TfCKtqyxscdKRw==" workbookSpinCount="100000" lockStructure="1"/>
  <bookViews>
    <workbookView xWindow="-105" yWindow="-105" windowWidth="23265" windowHeight="12585" tabRatio="714" firstSheet="2" activeTab="2"/>
  </bookViews>
  <sheets>
    <sheet name="STARCH" sheetId="62" state="hidden" r:id="rId1"/>
    <sheet name="VARIANTI" sheetId="64" state="hidden" r:id="rId2"/>
    <sheet name="NOTE IMPORTANTI PER IL CALCOLO" sheetId="65" r:id="rId3"/>
    <sheet name="Tabella Parametrica U1-U2" sheetId="29" r:id="rId4"/>
    <sheet name="Allegato_1Cs" sheetId="4" r:id="rId5"/>
    <sheet name="QCC (A)" sheetId="30" r:id="rId6"/>
    <sheet name="QCC (B)" sheetId="32" r:id="rId7"/>
    <sheet name="QCC (C)" sheetId="57" r:id="rId8"/>
    <sheet name="QCC (D)" sheetId="58" r:id="rId9"/>
    <sheet name="QCC (A.bis) cambio d'uso" sheetId="59" r:id="rId10"/>
    <sheet name="QCC (C.bis) cambio d'uso" sheetId="60" r:id="rId11"/>
    <sheet name="QCC (C.ter) cambio d'uso" sheetId="61" r:id="rId12"/>
    <sheet name="Guida Calcolo &quot;A&quot;" sheetId="17" r:id="rId13"/>
  </sheets>
  <definedNames>
    <definedName name="_xlnm.Print_Area" localSheetId="4">Allegato_1Cs!$R$2:$AG$249</definedName>
    <definedName name="_xlnm.Print_Area" localSheetId="5">'QCC (A)'!$B$2:$L$72</definedName>
    <definedName name="_xlnm.Print_Area" localSheetId="9">'QCC (A.bis) cambio d''uso'!$B$2:$N$127</definedName>
    <definedName name="_xlnm.Print_Area" localSheetId="6">'QCC (B)'!$B$2:$Z$40</definedName>
    <definedName name="_xlnm.Print_Area" localSheetId="7">'QCC (C)'!$B$2:$AC$27</definedName>
    <definedName name="_xlnm.Print_Area" localSheetId="10">'QCC (C.bis) cambio d''uso'!$B$2:$N$59</definedName>
    <definedName name="_xlnm.Print_Area" localSheetId="11">'QCC (C.ter) cambio d''uso'!$B$2:$N$56</definedName>
    <definedName name="_xlnm.Print_Area" localSheetId="8">'QCC (D)'!$B$2:$AD$42</definedName>
    <definedName name="_xlnm.Print_Area" localSheetId="3">'Tabella Parametrica U1-U2'!$B$3:$S$58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1" i="4" l="1"/>
  <c r="G7" i="64"/>
  <c r="E9" i="64" l="1"/>
  <c r="E7" i="64"/>
  <c r="G10" i="64"/>
  <c r="G9" i="64"/>
  <c r="G8" i="64"/>
  <c r="C5" i="62" l="1"/>
  <c r="B5" i="62" s="1"/>
  <c r="C4" i="62"/>
  <c r="B4" i="62" s="1"/>
  <c r="AB207" i="4"/>
  <c r="V239" i="4" l="1"/>
  <c r="AI222" i="4"/>
  <c r="S225" i="4" l="1"/>
  <c r="S223" i="4"/>
  <c r="AB198" i="4" l="1"/>
  <c r="AM198" i="4" s="1"/>
  <c r="AB196" i="4"/>
  <c r="AM196" i="4" s="1"/>
  <c r="T31" i="61" l="1"/>
  <c r="V31" i="61" s="1"/>
  <c r="T14" i="61"/>
  <c r="V14" i="61" s="1"/>
  <c r="T34" i="60"/>
  <c r="V34" i="60" s="1"/>
  <c r="S14" i="59"/>
  <c r="U14" i="59" s="1"/>
  <c r="T36" i="58"/>
  <c r="V36" i="58" s="1"/>
  <c r="R21" i="57"/>
  <c r="T21" i="57" s="1"/>
  <c r="V50" i="29" l="1"/>
  <c r="U50" i="29"/>
  <c r="V23" i="29"/>
  <c r="U23" i="29"/>
  <c r="V21" i="29"/>
  <c r="U21" i="29"/>
  <c r="V20" i="29"/>
  <c r="U20" i="29"/>
  <c r="V19" i="29"/>
  <c r="U19" i="29"/>
  <c r="V17" i="29"/>
  <c r="U17" i="29"/>
  <c r="V16" i="29"/>
  <c r="U16" i="29"/>
  <c r="V15" i="29"/>
  <c r="U15" i="29"/>
  <c r="V14" i="29"/>
  <c r="U14" i="29"/>
  <c r="V13" i="29"/>
  <c r="U13" i="29"/>
  <c r="V12" i="29"/>
  <c r="U12" i="29"/>
  <c r="V10" i="29"/>
  <c r="U10" i="29"/>
  <c r="V9" i="29"/>
  <c r="U9" i="29"/>
  <c r="V8" i="29"/>
  <c r="U8" i="29"/>
  <c r="V7" i="29"/>
  <c r="U7" i="29"/>
  <c r="V6" i="29"/>
  <c r="U6" i="29"/>
  <c r="R18" i="29"/>
  <c r="V52" i="29" s="1"/>
  <c r="P18" i="29"/>
  <c r="U52" i="29" s="1"/>
  <c r="S11" i="29"/>
  <c r="V43" i="29" s="1"/>
  <c r="R11" i="29"/>
  <c r="U43" i="29" s="1"/>
  <c r="Q11" i="29"/>
  <c r="V44" i="29" s="1"/>
  <c r="P11" i="29"/>
  <c r="U44" i="29" s="1"/>
  <c r="S10" i="29"/>
  <c r="V46" i="29" s="1"/>
  <c r="R10" i="29"/>
  <c r="U46" i="29" s="1"/>
  <c r="Q10" i="29"/>
  <c r="P10" i="29"/>
  <c r="U47" i="29" s="1"/>
  <c r="S9" i="29"/>
  <c r="V45" i="29" s="1"/>
  <c r="R9" i="29"/>
  <c r="U45" i="29" s="1"/>
  <c r="Q9" i="29"/>
  <c r="V47" i="29" s="1"/>
  <c r="P9" i="29"/>
  <c r="I52" i="61" l="1"/>
  <c r="J50" i="61"/>
  <c r="F34" i="61"/>
  <c r="F40" i="61" s="1"/>
  <c r="C40" i="61" s="1"/>
  <c r="F17" i="61"/>
  <c r="F23" i="61" s="1"/>
  <c r="C23" i="61" s="1"/>
  <c r="I55" i="60"/>
  <c r="J53" i="60"/>
  <c r="F37" i="60"/>
  <c r="F43" i="60" s="1"/>
  <c r="C43" i="60" s="1"/>
  <c r="F17" i="60"/>
  <c r="F24" i="60" s="1"/>
  <c r="C20" i="60" s="1"/>
  <c r="D59" i="59"/>
  <c r="E57" i="59" s="1"/>
  <c r="G57" i="59" s="1"/>
  <c r="F34" i="59"/>
  <c r="F41" i="59" s="1"/>
  <c r="C37" i="59" s="1"/>
  <c r="F17" i="59"/>
  <c r="F23" i="59" s="1"/>
  <c r="C23" i="59" s="1"/>
  <c r="L34" i="58"/>
  <c r="T31" i="58"/>
  <c r="Q31" i="58" s="1"/>
  <c r="C25" i="58" s="1"/>
  <c r="K31" i="58"/>
  <c r="T25" i="58"/>
  <c r="N16" i="58"/>
  <c r="N15" i="58"/>
  <c r="N14" i="58"/>
  <c r="N11" i="58"/>
  <c r="N10" i="58"/>
  <c r="I19" i="57"/>
  <c r="J17" i="57"/>
  <c r="R10" i="57"/>
  <c r="R16" i="57" s="1"/>
  <c r="O16" i="57" s="1"/>
  <c r="C10" i="57" s="1"/>
  <c r="C47" i="59" l="1"/>
  <c r="E58" i="59"/>
  <c r="G58" i="59" s="1"/>
  <c r="N17" i="58"/>
  <c r="N18" i="58" s="1"/>
  <c r="N19" i="58" s="1"/>
  <c r="C61" i="59"/>
  <c r="C64" i="59" s="1"/>
  <c r="F67" i="59" s="1"/>
  <c r="E54" i="59"/>
  <c r="G54" i="59" s="1"/>
  <c r="H59" i="59" s="1"/>
  <c r="E55" i="59"/>
  <c r="G55" i="59" s="1"/>
  <c r="E56" i="59"/>
  <c r="G56" i="59" s="1"/>
  <c r="N20" i="58"/>
  <c r="E25" i="58"/>
  <c r="C47" i="60"/>
  <c r="F66" i="59"/>
  <c r="F65" i="59"/>
  <c r="F64" i="59"/>
  <c r="C44" i="61"/>
  <c r="E31" i="57"/>
  <c r="E23" i="57" s="1"/>
  <c r="X91" i="4" s="1"/>
  <c r="E30" i="57"/>
  <c r="AF124" i="4"/>
  <c r="AM124" i="4" s="1"/>
  <c r="AF129" i="4"/>
  <c r="AM129" i="4" s="1"/>
  <c r="C63" i="59" l="1"/>
  <c r="G46" i="58"/>
  <c r="G38" i="58" s="1"/>
  <c r="X94" i="4" s="1"/>
  <c r="G45" i="58"/>
  <c r="E61" i="60"/>
  <c r="E59" i="60" s="1"/>
  <c r="X100" i="4" s="1"/>
  <c r="E60" i="60"/>
  <c r="E58" i="61"/>
  <c r="E56" i="61" s="1"/>
  <c r="X103" i="4" s="1"/>
  <c r="E57" i="61"/>
  <c r="H67" i="59"/>
  <c r="C71" i="59" s="1"/>
  <c r="AF131" i="4"/>
  <c r="AM132" i="4" s="1"/>
  <c r="AB165" i="4"/>
  <c r="AB163" i="4"/>
  <c r="AB161" i="4"/>
  <c r="AB159" i="4"/>
  <c r="E125" i="59" l="1"/>
  <c r="E124" i="59"/>
  <c r="E117" i="59"/>
  <c r="E123" i="59"/>
  <c r="E122" i="59"/>
  <c r="E121" i="59"/>
  <c r="E120" i="59"/>
  <c r="E127" i="59"/>
  <c r="E119" i="59"/>
  <c r="E126" i="59"/>
  <c r="E118" i="59"/>
  <c r="AB167" i="4"/>
  <c r="AI167" i="4" s="1"/>
  <c r="V173" i="4" s="1"/>
  <c r="H117" i="59" l="1"/>
  <c r="H116" i="59"/>
  <c r="E71" i="59" s="1"/>
  <c r="G71" i="59"/>
  <c r="C82" i="59" s="1"/>
  <c r="AB173" i="4"/>
  <c r="AM173" i="4" s="1"/>
  <c r="K36" i="32"/>
  <c r="T25" i="32"/>
  <c r="T32" i="32" s="1"/>
  <c r="Q28" i="32" s="1"/>
  <c r="C25" i="32" s="1"/>
  <c r="N16" i="32"/>
  <c r="N15" i="32"/>
  <c r="N14" i="32"/>
  <c r="N11" i="32"/>
  <c r="N10" i="32"/>
  <c r="F44" i="30"/>
  <c r="F51" i="30" s="1"/>
  <c r="C47" i="30" s="1"/>
  <c r="C50" i="30" s="1"/>
  <c r="D16" i="30"/>
  <c r="C18" i="30" s="1"/>
  <c r="AB204" i="4" l="1"/>
  <c r="D109" i="59"/>
  <c r="D108" i="59"/>
  <c r="D107" i="59"/>
  <c r="D106" i="59"/>
  <c r="D113" i="59"/>
  <c r="D105" i="59"/>
  <c r="D112" i="59"/>
  <c r="D104" i="59"/>
  <c r="D111" i="59"/>
  <c r="D110" i="59"/>
  <c r="E15" i="30"/>
  <c r="G15" i="30" s="1"/>
  <c r="E14" i="30"/>
  <c r="G14" i="30" s="1"/>
  <c r="E11" i="30"/>
  <c r="G11" i="30" s="1"/>
  <c r="E12" i="30"/>
  <c r="G12" i="30" s="1"/>
  <c r="E13" i="30"/>
  <c r="G13" i="30" s="1"/>
  <c r="N17" i="32"/>
  <c r="E25" i="32" s="1"/>
  <c r="C20" i="30"/>
  <c r="C21" i="30"/>
  <c r="D55" i="32"/>
  <c r="D53" i="32"/>
  <c r="D51" i="32"/>
  <c r="D49" i="32"/>
  <c r="D47" i="32"/>
  <c r="D56" i="32"/>
  <c r="D54" i="32"/>
  <c r="D52" i="32"/>
  <c r="D50" i="32"/>
  <c r="D48" i="32"/>
  <c r="H114" i="59" l="1"/>
  <c r="F94" i="59" s="1"/>
  <c r="H99" i="59" s="1"/>
  <c r="H89" i="59" s="1"/>
  <c r="D99" i="59" s="1"/>
  <c r="D98" i="59" s="1"/>
  <c r="X97" i="4" s="1"/>
  <c r="H16" i="30"/>
  <c r="N18" i="32"/>
  <c r="N19" i="32" s="1"/>
  <c r="N20" i="32"/>
  <c r="H56" i="32"/>
  <c r="G34" i="32" s="1"/>
  <c r="N43" i="32" s="1"/>
  <c r="F23" i="30"/>
  <c r="F21" i="30"/>
  <c r="F24" i="30"/>
  <c r="F22" i="30"/>
  <c r="K58" i="29"/>
  <c r="V41" i="29" s="1"/>
  <c r="G58" i="29"/>
  <c r="V40" i="29" s="1"/>
  <c r="G51" i="29"/>
  <c r="U40" i="29" s="1"/>
  <c r="K43" i="29"/>
  <c r="V36" i="29" s="1"/>
  <c r="J43" i="29"/>
  <c r="V35" i="29" s="1"/>
  <c r="G43" i="29"/>
  <c r="V34" i="29" s="1"/>
  <c r="F43" i="29"/>
  <c r="V33" i="29" s="1"/>
  <c r="K36" i="29"/>
  <c r="U36" i="29" s="1"/>
  <c r="J36" i="29"/>
  <c r="U35" i="29" s="1"/>
  <c r="G36" i="29"/>
  <c r="U34" i="29" s="1"/>
  <c r="F36" i="29"/>
  <c r="U33" i="29" s="1"/>
  <c r="K28" i="29"/>
  <c r="J28" i="29"/>
  <c r="V29" i="29" s="1"/>
  <c r="G28" i="29"/>
  <c r="V28" i="29" s="1"/>
  <c r="F28" i="29"/>
  <c r="V27" i="29" s="1"/>
  <c r="K26" i="29"/>
  <c r="G26" i="29"/>
  <c r="K21" i="29"/>
  <c r="K51" i="29" s="1"/>
  <c r="U41" i="29" s="1"/>
  <c r="J21" i="29"/>
  <c r="U29" i="29" s="1"/>
  <c r="G21" i="29"/>
  <c r="U28" i="29" s="1"/>
  <c r="F21" i="29"/>
  <c r="U27" i="29" s="1"/>
  <c r="K19" i="29"/>
  <c r="G19" i="29"/>
  <c r="D100" i="59" l="1"/>
  <c r="K34" i="29"/>
  <c r="U32" i="29" s="1"/>
  <c r="U25" i="29"/>
  <c r="G41" i="29"/>
  <c r="V32" i="29" s="1"/>
  <c r="V26" i="29"/>
  <c r="K56" i="29"/>
  <c r="V38" i="29" s="1"/>
  <c r="V25" i="29"/>
  <c r="G34" i="29"/>
  <c r="U31" i="29" s="1"/>
  <c r="U26" i="29"/>
  <c r="H24" i="30"/>
  <c r="C28" i="30" s="1"/>
  <c r="N29" i="32"/>
  <c r="J29" i="32"/>
  <c r="G56" i="29"/>
  <c r="V39" i="29" s="1"/>
  <c r="G49" i="29"/>
  <c r="U39" i="29" s="1"/>
  <c r="K41" i="29"/>
  <c r="V31" i="29" s="1"/>
  <c r="K49" i="29"/>
  <c r="U38" i="29" s="1"/>
  <c r="AI188" i="4"/>
  <c r="AI187" i="4"/>
  <c r="AI69" i="4"/>
  <c r="AI70" i="4" s="1"/>
  <c r="AI68" i="4"/>
  <c r="AI65" i="4"/>
  <c r="AI66" i="4" s="1"/>
  <c r="AI64" i="4"/>
  <c r="AI59" i="4"/>
  <c r="AI60" i="4" s="1"/>
  <c r="AI58" i="4"/>
  <c r="AI55" i="4"/>
  <c r="AI56" i="4" s="1"/>
  <c r="AI54" i="4"/>
  <c r="AI49" i="4"/>
  <c r="AI50" i="4" s="1"/>
  <c r="AI48" i="4"/>
  <c r="AI45" i="4"/>
  <c r="AI46" i="4" s="1"/>
  <c r="AI44" i="4"/>
  <c r="AI32" i="4"/>
  <c r="AI33" i="4" s="1"/>
  <c r="AI31" i="4"/>
  <c r="AI28" i="4"/>
  <c r="AI29" i="4" s="1"/>
  <c r="AI27" i="4"/>
  <c r="AI22" i="4"/>
  <c r="AI23" i="4" s="1"/>
  <c r="AI21" i="4"/>
  <c r="AI18" i="4"/>
  <c r="AI19" i="4" s="1"/>
  <c r="AI17" i="4"/>
  <c r="AI12" i="4"/>
  <c r="AI13" i="4" s="1"/>
  <c r="AI11" i="4"/>
  <c r="AI8" i="4"/>
  <c r="AI9" i="4" s="1"/>
  <c r="AI7" i="4"/>
  <c r="Z194" i="4"/>
  <c r="AB141" i="4"/>
  <c r="AB139" i="4"/>
  <c r="AB123" i="4"/>
  <c r="AB121" i="4"/>
  <c r="AI143" i="4" l="1"/>
  <c r="AI144" i="4" s="1"/>
  <c r="V148" i="4" s="1"/>
  <c r="E100" i="30"/>
  <c r="E98" i="30"/>
  <c r="E96" i="30"/>
  <c r="E94" i="30"/>
  <c r="E92" i="30"/>
  <c r="E91" i="30"/>
  <c r="E101" i="30"/>
  <c r="E99" i="30"/>
  <c r="E97" i="30"/>
  <c r="E95" i="30"/>
  <c r="E93" i="30"/>
  <c r="C44" i="32"/>
  <c r="E40" i="32" s="1"/>
  <c r="X88" i="4" s="1"/>
  <c r="C43" i="32"/>
  <c r="AB125" i="4"/>
  <c r="AB202" i="4"/>
  <c r="AJ125" i="4" l="1"/>
  <c r="AJ126" i="4" s="1"/>
  <c r="H91" i="30"/>
  <c r="H90" i="30"/>
  <c r="E28" i="30" s="1"/>
  <c r="G28" i="30"/>
  <c r="C56" i="30" s="1"/>
  <c r="V131" i="4" l="1"/>
  <c r="AB131" i="4" s="1"/>
  <c r="AM131" i="4" s="1"/>
  <c r="D86" i="30"/>
  <c r="D84" i="30"/>
  <c r="D82" i="30"/>
  <c r="D80" i="30"/>
  <c r="D78" i="30"/>
  <c r="D87" i="30"/>
  <c r="D85" i="30"/>
  <c r="D83" i="30"/>
  <c r="D81" i="30"/>
  <c r="D79" i="30"/>
  <c r="H88" i="30" l="1"/>
  <c r="F68" i="30" s="1"/>
  <c r="H73" i="30" s="1"/>
  <c r="H63" i="30" l="1"/>
  <c r="F63" i="30"/>
  <c r="D74" i="30" l="1"/>
  <c r="D73" i="30"/>
  <c r="D72" i="30" s="1"/>
  <c r="X85" i="4" s="1"/>
  <c r="AF70" i="4" l="1"/>
  <c r="AF66" i="4"/>
  <c r="AF60" i="4"/>
  <c r="AF33" i="4"/>
  <c r="AF23" i="4"/>
  <c r="AF19" i="4"/>
  <c r="AF72" i="4" l="1"/>
  <c r="AF25" i="4"/>
  <c r="AF56" i="4"/>
  <c r="AF62" i="4" s="1"/>
  <c r="AF29" i="4"/>
  <c r="AF35" i="4" s="1"/>
  <c r="AF13" i="4"/>
  <c r="V183" i="4" s="1"/>
  <c r="AB143" i="4" l="1"/>
  <c r="AB148" i="4" s="1"/>
  <c r="AM148" i="4" s="1"/>
  <c r="AP122" i="4" s="1"/>
  <c r="H8" i="64" s="1"/>
  <c r="AF50" i="4"/>
  <c r="V187" i="4" s="1"/>
  <c r="AF46" i="4"/>
  <c r="V185" i="4" s="1"/>
  <c r="AB203" i="4" l="1"/>
  <c r="AB205" i="4" s="1"/>
  <c r="AF52" i="4"/>
  <c r="E8" i="64" l="1"/>
  <c r="C3" i="62"/>
  <c r="V229" i="4"/>
  <c r="X107" i="4"/>
  <c r="V189" i="4" s="1"/>
  <c r="B3" i="62" l="1"/>
  <c r="D3" i="62"/>
  <c r="AF74" i="4"/>
  <c r="AF9" i="4"/>
  <c r="V181" i="4" s="1"/>
  <c r="V193" i="4" s="1"/>
  <c r="AI198" i="4" l="1"/>
  <c r="AI197" i="4"/>
  <c r="AB197" i="4" s="1"/>
  <c r="AM197" i="4" s="1"/>
  <c r="AI195" i="4"/>
  <c r="AB195" i="4" s="1"/>
  <c r="AM195" i="4" s="1"/>
  <c r="AP192" i="4" s="1"/>
  <c r="H10" i="64" s="1"/>
  <c r="AI196" i="4"/>
  <c r="AF15" i="4"/>
  <c r="AF37" i="4" s="1"/>
  <c r="AB200" i="4" l="1"/>
  <c r="E10" i="64" l="1"/>
  <c r="C2" i="62"/>
  <c r="V227" i="4"/>
  <c r="V231" i="4" s="1"/>
  <c r="AB209" i="4"/>
  <c r="AI210" i="4" s="1"/>
  <c r="B2" i="62" l="1"/>
  <c r="D2" i="62"/>
  <c r="AI209" i="4"/>
  <c r="V247" i="4"/>
  <c r="AF222" i="4"/>
  <c r="AF224" i="4" s="1"/>
  <c r="AF225" i="4" l="1"/>
  <c r="AF227" i="4"/>
</calcChain>
</file>

<file path=xl/sharedStrings.xml><?xml version="1.0" encoding="utf-8"?>
<sst xmlns="http://schemas.openxmlformats.org/spreadsheetml/2006/main" count="1958" uniqueCount="630">
  <si>
    <t>U1</t>
  </si>
  <si>
    <t>=</t>
  </si>
  <si>
    <t>x</t>
  </si>
  <si>
    <t>(mq)</t>
  </si>
  <si>
    <t>(€/mq)</t>
  </si>
  <si>
    <t>-</t>
  </si>
  <si>
    <t>U2</t>
  </si>
  <si>
    <r>
      <t xml:space="preserve">Superficie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</si>
  <si>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r>
      <t xml:space="preserve">Tariffa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</si>
  <si>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%F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</si>
  <si>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r>
      <t xml:space="preserve">%V </t>
    </r>
    <r>
      <rPr>
        <b/>
        <vertAlign val="superscript"/>
        <sz val="9"/>
        <color theme="1"/>
        <rFont val="Calibri"/>
        <family val="2"/>
        <scheme val="minor"/>
      </rPr>
      <t>(4)</t>
    </r>
  </si>
  <si>
    <t>D</t>
  </si>
  <si>
    <t>S</t>
  </si>
  <si>
    <r>
      <t xml:space="preserve">Td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</si>
  <si>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Kd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</si>
  <si>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r>
      <t xml:space="preserve">%F </t>
    </r>
    <r>
      <rPr>
        <b/>
        <vertAlign val="superscript"/>
        <sz val="9"/>
        <color theme="1"/>
        <rFont val="Calibri"/>
        <family val="2"/>
        <scheme val="minor"/>
      </rPr>
      <t>(4)</t>
    </r>
  </si>
  <si>
    <r>
      <t xml:space="preserve">Ts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</si>
  <si>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Ks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</si>
  <si>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t>ONERI DI URBANIZZAZIONE PRIMARIA (U1) E SECONDARIA (U2)</t>
  </si>
  <si>
    <t>CONTRIBUTO DI DISINQUINAMENTO (D) E SISTEMAZIONE (S)</t>
  </si>
  <si>
    <t>MSP</t>
  </si>
  <si>
    <t>TOTALE</t>
  </si>
  <si>
    <t>QUOTA SUL COSTO DI COSTRUZIONE (QCC)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</si>
  <si>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(A)</t>
    </r>
    <r>
      <rPr>
        <b/>
        <sz val="10"/>
        <color theme="1"/>
        <rFont val="Calibri"/>
        <family val="2"/>
        <scheme val="minor"/>
      </rPr>
      <t xml:space="preserve"> =</t>
    </r>
  </si>
  <si>
    <t>*** Compilare le celle con campitura grigia e testo in rosso ***</t>
  </si>
  <si>
    <t>1) Calcolare gli incrementi i1 e i2 seguendo le Tabelle1 e 2</t>
  </si>
  <si>
    <t>Tabella 1 - INCREMENTO PER SUPERFICIE UTILE - i1</t>
  </si>
  <si>
    <t>Classi di superfici</t>
  </si>
  <si>
    <t>Alloggi</t>
  </si>
  <si>
    <t>Superficie utile SU</t>
  </si>
  <si>
    <t>Rapporto rispetto</t>
  </si>
  <si>
    <t>% di incremento</t>
  </si>
  <si>
    <t>% di incremento per</t>
  </si>
  <si>
    <t>(n)</t>
  </si>
  <si>
    <t>al totale di SU</t>
  </si>
  <si>
    <t>classi di superfici</t>
  </si>
  <si>
    <t>(1)</t>
  </si>
  <si>
    <t>(2)</t>
  </si>
  <si>
    <t>(3)</t>
  </si>
  <si>
    <t>(4) = (3) : SU</t>
  </si>
  <si>
    <t>(5)</t>
  </si>
  <si>
    <t>(6) = (4) x (5)</t>
  </si>
  <si>
    <t>≤ 95</t>
  </si>
  <si>
    <t>&gt; 95 ≤ 110</t>
  </si>
  <si>
    <t>&gt; 110  ≤ 130</t>
  </si>
  <si>
    <t>&gt; 130 ≤ 160</t>
  </si>
  <si>
    <t>&gt; 160</t>
  </si>
  <si>
    <t>Totale SU</t>
  </si>
  <si>
    <t>Somma incrementi i1 =</t>
  </si>
  <si>
    <t>Tabella 2 - INCREMENTO PER SERVIZI ED ACCESSORI - i2</t>
  </si>
  <si>
    <t>Tot. SU</t>
  </si>
  <si>
    <t>Intervallo R di variabilità del rapporto percentuale (%)</t>
  </si>
  <si>
    <t>Ipotesi che ricorre</t>
  </si>
  <si>
    <t>% i2 corrispondente</t>
  </si>
  <si>
    <t>Tot. SA</t>
  </si>
  <si>
    <t>Tot. SC = SU + 60% SA =</t>
  </si>
  <si>
    <t xml:space="preserve">R = (SA: SU) * 100 = </t>
  </si>
  <si>
    <t>≤ 50</t>
  </si>
  <si>
    <t>&gt; 50 ≤ 75</t>
  </si>
  <si>
    <t>&gt; 75 ≤ 100</t>
  </si>
  <si>
    <t>&gt; 100</t>
  </si>
  <si>
    <t xml:space="preserve">2) Calcolare l’incremento i e la maggiorazione M </t>
  </si>
  <si>
    <t>Tabella 3 – CALCOLO INCREMENTO i E MAGGIORAZIONE M</t>
  </si>
  <si>
    <t>i = i1 + i2 =</t>
  </si>
  <si>
    <t>Classe edificio =</t>
  </si>
  <si>
    <t>Maggiorazione M =</t>
  </si>
  <si>
    <t>Intervalli %</t>
  </si>
  <si>
    <t>Classe/maggiorazione</t>
  </si>
  <si>
    <t>% di i fino a 5 inclusa:</t>
  </si>
  <si>
    <t>Classe I - M= 0</t>
  </si>
  <si>
    <t>% di i da 30 a 35 inclusa:</t>
  </si>
  <si>
    <t>Classe VII - M=30</t>
  </si>
  <si>
    <t>% di i da 5 a 10 inclusa:</t>
  </si>
  <si>
    <t>Classe II - M= 5</t>
  </si>
  <si>
    <t>% di i da 35 a 40 inclusa:</t>
  </si>
  <si>
    <t>Classe VIII - M=35</t>
  </si>
  <si>
    <t>% di i da 10 a 15 inclusa:</t>
  </si>
  <si>
    <t>Classe III - M=10</t>
  </si>
  <si>
    <t>% di i da 40 a 45 inclusa:</t>
  </si>
  <si>
    <t>Classe IX - M=40</t>
  </si>
  <si>
    <t>% di i da 15 a 20 inclusa:</t>
  </si>
  <si>
    <t>Classe IV - M=15</t>
  </si>
  <si>
    <t>% di i da 45 a 50 inclusa:</t>
  </si>
  <si>
    <t>Classe X - M=45</t>
  </si>
  <si>
    <t>% di i da 20 a 25 inclusa:</t>
  </si>
  <si>
    <t>Classe V - M=20</t>
  </si>
  <si>
    <t>% di i oltre 50%:</t>
  </si>
  <si>
    <t>Classe XI - M=50</t>
  </si>
  <si>
    <t>% di i da 25 a 30 inclusa:</t>
  </si>
  <si>
    <t>Classe VI - M=25</t>
  </si>
  <si>
    <t xml:space="preserve">3) Calcolare il costo di costruzione convenzionale unitario A (come definito al punto 5.1 della DAL 186/2018) </t>
  </si>
  <si>
    <t>Link OMI Geopoi (ADE) *</t>
  </si>
  <si>
    <t>https://wwwt.agenziaentrate.gov.it/geopoi_omi/index.php</t>
  </si>
  <si>
    <t>STATO CONSERVATIVO</t>
  </si>
  <si>
    <t>CONVERSIONE STATO CONSERVATIVO</t>
  </si>
  <si>
    <t>Stato conservativo su OMI-Geopoi</t>
  </si>
  <si>
    <t>Normale</t>
  </si>
  <si>
    <t>K1</t>
  </si>
  <si>
    <t>Ottimo</t>
  </si>
  <si>
    <r>
      <t xml:space="preserve">Valore mercato </t>
    </r>
    <r>
      <rPr>
        <b/>
        <sz val="10"/>
        <rFont val="Calibri"/>
        <family val="2"/>
        <scheme val="minor"/>
      </rPr>
      <t xml:space="preserve">MIN </t>
    </r>
    <r>
      <rPr>
        <sz val="10"/>
        <rFont val="Calibri"/>
        <family val="2"/>
        <scheme val="minor"/>
      </rPr>
      <t>(€/mq)</t>
    </r>
  </si>
  <si>
    <r>
      <t xml:space="preserve">Valore mercato </t>
    </r>
    <r>
      <rPr>
        <b/>
        <sz val="10"/>
        <rFont val="Calibri"/>
        <family val="2"/>
        <scheme val="minor"/>
      </rPr>
      <t xml:space="preserve">MAX </t>
    </r>
    <r>
      <rPr>
        <sz val="10"/>
        <rFont val="Calibri"/>
        <family val="2"/>
        <scheme val="minor"/>
      </rPr>
      <t>(€/mq)</t>
    </r>
  </si>
  <si>
    <t>Scadente</t>
  </si>
  <si>
    <t>VALORE OMI MEDIO (€/mq)</t>
  </si>
  <si>
    <t>K3</t>
  </si>
  <si>
    <t>Abitazioni civili</t>
  </si>
  <si>
    <t>Abitazioni di tipo economico</t>
  </si>
  <si>
    <t>Abitazioni signorili</t>
  </si>
  <si>
    <t>Abitazioni tipiche dei luoghi</t>
  </si>
  <si>
    <t>Ville e villini</t>
  </si>
  <si>
    <t>Tipologia edilizia su OMI-Geopoi</t>
  </si>
  <si>
    <r>
      <t xml:space="preserve">A </t>
    </r>
    <r>
      <rPr>
        <b/>
        <sz val="11"/>
        <rFont val="Calibri"/>
        <family val="2"/>
      </rPr>
      <t>= Val. OMI med x 0,475 =</t>
    </r>
  </si>
  <si>
    <t>€/mq</t>
  </si>
  <si>
    <t>Tipologia edilizia di progetto</t>
  </si>
  <si>
    <t xml:space="preserve">4) Calcolare il costo di costruzione unitario maggiorato B </t>
  </si>
  <si>
    <t xml:space="preserve">B = A x (1 + M/100) =   </t>
  </si>
  <si>
    <t>dove:</t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</si>
  <si>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 </t>
    </r>
  </si>
  <si>
    <r>
      <rPr>
        <b/>
        <sz val="10"/>
        <rFont val="Calibri"/>
        <family val="2"/>
      </rPr>
      <t>M</t>
    </r>
    <r>
      <rPr>
        <sz val="10"/>
        <rFont val="Calibri"/>
        <family val="2"/>
      </rPr>
      <t xml:space="preserve"> è la maggiorazione calcolata rispetto alla classe edificio </t>
    </r>
  </si>
  <si>
    <t>5) Calcolare il QCC relativo al costo di costruzione:</t>
  </si>
  <si>
    <t>QCC = (B x P) x SC x % riduzione</t>
  </si>
  <si>
    <t>Se B x P è minore di 25 €/mq allora B x P è da considerarsi pari a 25 €/mq                                P x B è</t>
  </si>
  <si>
    <t>B x P =</t>
  </si>
  <si>
    <r>
      <rPr>
        <b/>
        <sz val="10"/>
        <rFont val="Calibri"/>
        <family val="2"/>
      </rPr>
      <t>B</t>
    </r>
    <r>
      <rPr>
        <sz val="10"/>
        <rFont val="Calibri"/>
        <family val="2"/>
      </rPr>
      <t xml:space="preserve"> è il costo di costruzione unitario maggiorato </t>
    </r>
    <r>
      <rPr>
        <u/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</si>
  <si>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(%) in relazione al costo di costruzione unitario maggiorato B (Tab. 4 della Scheda A)</t>
    </r>
  </si>
  <si>
    <t>(In riferimento alle unità immobiliari aventi le caratteristiche delle abitazioni di lusso, così come definite dal DM 2 agosto 1969, o agli edifici provvisti di eliporto, il valore percentuale P è pari al 20%)</t>
  </si>
  <si>
    <t>abitazioni di lusso (SI/NO) =</t>
  </si>
  <si>
    <t>NO</t>
  </si>
  <si>
    <t>P =</t>
  </si>
  <si>
    <r>
      <rPr>
        <b/>
        <sz val="10"/>
        <rFont val="Calibri"/>
        <family val="2"/>
      </rPr>
      <t>SC</t>
    </r>
    <r>
      <rPr>
        <sz val="10"/>
        <rFont val="Calibri"/>
        <family val="2"/>
      </rPr>
      <t xml:space="preserve"> è la superficie complessiva </t>
    </r>
  </si>
  <si>
    <t>SI</t>
  </si>
  <si>
    <r>
      <t xml:space="preserve">QCC = (B x P) x SC x </t>
    </r>
    <r>
      <rPr>
        <b/>
        <sz val="11"/>
        <color indexed="8"/>
        <rFont val="Calibri"/>
        <family val="2"/>
      </rPr>
      <t xml:space="preserve">% riduzione </t>
    </r>
    <r>
      <rPr>
        <b/>
        <sz val="11"/>
        <rFont val="Calibri"/>
        <family val="2"/>
      </rPr>
      <t xml:space="preserve">=        </t>
    </r>
  </si>
  <si>
    <r>
      <t xml:space="preserve">QCC = (B * P) * SC * </t>
    </r>
    <r>
      <rPr>
        <b/>
        <sz val="9"/>
        <color theme="0" tint="-0.249977111117893"/>
        <rFont val="Calibri"/>
        <family val="2"/>
      </rPr>
      <t xml:space="preserve">% riduzione =        </t>
    </r>
  </si>
  <si>
    <t>Tabella 4 - Percentuale P in relazione al costo di costruzione unitario maggiorato B</t>
  </si>
  <si>
    <t>Classi di valori imponibili “B” (€/mq)</t>
  </si>
  <si>
    <t>%</t>
  </si>
  <si>
    <t>&lt; 500</t>
  </si>
  <si>
    <t>501 - 1.000</t>
  </si>
  <si>
    <t>1.001 - 1.500</t>
  </si>
  <si>
    <t>1.501 - 2.000</t>
  </si>
  <si>
    <t>2.001 - 2.500</t>
  </si>
  <si>
    <t>2.501 - 3.000</t>
  </si>
  <si>
    <t>3.001 - 3.500</t>
  </si>
  <si>
    <t>3.501 - 4.000</t>
  </si>
  <si>
    <t>4.001 - 4.500</t>
  </si>
  <si>
    <t>&gt; 4.501</t>
  </si>
  <si>
    <t>Classe</t>
  </si>
  <si>
    <t>Maggiorazione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</si>
  <si>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(B)</t>
    </r>
    <r>
      <rPr>
        <b/>
        <sz val="10"/>
        <color theme="1"/>
        <rFont val="Calibri"/>
        <family val="2"/>
        <scheme val="minor"/>
      </rPr>
      <t xml:space="preserve"> =</t>
    </r>
  </si>
  <si>
    <t>1) Calcolare l’incidenza totale dei lavori da eseguire (i) seguendo la Tabella 5</t>
  </si>
  <si>
    <t>Incidenza delle singole categorie di lavori da eseguire</t>
  </si>
  <si>
    <t>Stima della incidenza dei lavori (%)</t>
  </si>
  <si>
    <t>Fondazioni</t>
  </si>
  <si>
    <t>Travi-Pilastri</t>
  </si>
  <si>
    <t xml:space="preserve">Tamponamenti </t>
  </si>
  <si>
    <t>Muri portanti</t>
  </si>
  <si>
    <t>Solai, balconi</t>
  </si>
  <si>
    <t>Tramezzi interni</t>
  </si>
  <si>
    <t>Coperture</t>
  </si>
  <si>
    <t xml:space="preserve">Incidenza delle opere strutturali (i1) (max 50%)                                                                                                                                                                                            </t>
  </si>
  <si>
    <t xml:space="preserve"> Totale ( i1) =</t>
  </si>
  <si>
    <t xml:space="preserve">Incidenza delle opere di finitura (i2)                                                                                                                                                                                                                    </t>
  </si>
  <si>
    <t>(i2) = (i1) =</t>
  </si>
  <si>
    <t xml:space="preserve">                                                                           (i) = (i1) + (i2) =     </t>
  </si>
  <si>
    <t xml:space="preserve">2) Calcolare il costo di costruzione convenzionale unitario A (come definito al punto 5.1 della DAL 186/2018) </t>
  </si>
  <si>
    <r>
      <t xml:space="preserve">A </t>
    </r>
    <r>
      <rPr>
        <b/>
        <sz val="11"/>
        <rFont val="Calibri"/>
        <family val="2"/>
      </rPr>
      <t>= Val. OMI med. x 0,475 =</t>
    </r>
  </si>
  <si>
    <t>3) Calcolare il QCC relativo al costo di costruzione:</t>
  </si>
  <si>
    <t>QCC = (A x P) x SC x (i) x % riduzione</t>
  </si>
  <si>
    <r>
      <t xml:space="preserve">Se A x P è minore di 25 €/mq allora A x P è da considerarsi pari a 25 €/mq.                                   </t>
    </r>
    <r>
      <rPr>
        <sz val="10"/>
        <rFont val="Calibri"/>
        <family val="2"/>
      </rPr>
      <t xml:space="preserve"> A x P è</t>
    </r>
  </si>
  <si>
    <t>A x P =</t>
  </si>
  <si>
    <r>
      <rPr>
        <b/>
        <sz val="10"/>
        <rFont val="Calibri"/>
        <family val="2"/>
      </rPr>
      <t>A</t>
    </r>
    <r>
      <rPr>
        <sz val="10"/>
        <rFont val="Calibri"/>
        <family val="2"/>
      </rPr>
      <t xml:space="preserve"> è il costo di costruzione convenzionale unitario</t>
    </r>
  </si>
  <si>
    <r>
      <rPr>
        <b/>
        <sz val="10"/>
        <rFont val="Calibri"/>
        <family val="2"/>
      </rPr>
      <t>P</t>
    </r>
    <r>
      <rPr>
        <sz val="10"/>
        <rFont val="Calibri"/>
        <family val="2"/>
      </rPr>
      <t xml:space="preserve"> è la percentuale (%) in relazione al costo di costruzione convenzionale unitario A (Tabella 6)</t>
    </r>
  </si>
  <si>
    <t>In riferimento alle unità immobiliari aventi le caratteristiche delle abitazioni di lusso, così come definite dal DM 2 agosto 1969, o agli edifici provvisti di eliporto, il valore percentuale P è pari al 20%.</t>
  </si>
  <si>
    <t>SU = mq</t>
  </si>
  <si>
    <t>SA = mq</t>
  </si>
  <si>
    <t xml:space="preserve">SC = </t>
  </si>
  <si>
    <t>mq</t>
  </si>
  <si>
    <r>
      <rPr>
        <b/>
        <sz val="10"/>
        <rFont val="Calibri"/>
        <family val="2"/>
      </rPr>
      <t>(i)</t>
    </r>
    <r>
      <rPr>
        <sz val="10"/>
        <rFont val="Calibri"/>
        <family val="2"/>
      </rPr>
      <t xml:space="preserve"> è l’incidenza totale dei lavori da eseguire </t>
    </r>
  </si>
  <si>
    <t xml:space="preserve">QCC = (A x P) x SC x (i) x % riduzione =       </t>
  </si>
  <si>
    <t xml:space="preserve">QCC = A * P * SC * (i) * % riduzione =        </t>
  </si>
  <si>
    <t>€</t>
  </si>
  <si>
    <t>Tabella 6 - Percentuale P in relazione al costo di costruzione unitario A</t>
  </si>
  <si>
    <t>Classi di valori imponibili “A” (€/mq)</t>
  </si>
  <si>
    <t xml:space="preserve">1) Calcolare il costo di costruzione convenzionale unitario A (come definito al punto 5.1 della DAL 186/2018) </t>
  </si>
  <si>
    <r>
      <t xml:space="preserve">A </t>
    </r>
    <r>
      <rPr>
        <b/>
        <sz val="11"/>
        <rFont val="Calibri"/>
        <family val="2"/>
      </rPr>
      <t>= Val. OMI med. X 0,475</t>
    </r>
  </si>
  <si>
    <r>
      <rPr>
        <b/>
        <sz val="9"/>
        <color theme="1"/>
        <rFont val="Calibri"/>
        <family val="2"/>
        <scheme val="minor"/>
      </rPr>
      <t>*Attenzione:</t>
    </r>
    <r>
      <rPr>
        <sz val="9"/>
        <color theme="1"/>
        <rFont val="Calibri"/>
        <family val="2"/>
        <scheme val="minor"/>
      </rPr>
      <t xml:space="preserve"> nel caso la zona OMI luogo dell'intervento non contempli la funzione NON residenziale, inserire i valori corrispondenti alla </t>
    </r>
    <r>
      <rPr>
        <b/>
        <sz val="9"/>
        <color theme="1"/>
        <rFont val="Calibri"/>
        <family val="2"/>
        <scheme val="minor"/>
      </rPr>
      <t>"Funzione residenziale - Abitazioni civili"</t>
    </r>
  </si>
  <si>
    <t>2) Calcolare il QCC relativo al costo di costruzione:</t>
  </si>
  <si>
    <r>
      <t xml:space="preserve">Valore mercato </t>
    </r>
    <r>
      <rPr>
        <b/>
        <sz val="10"/>
        <rFont val="Calibri"/>
        <family val="2"/>
        <scheme val="minor"/>
      </rPr>
      <t>MIN</t>
    </r>
    <r>
      <rPr>
        <sz val="10"/>
        <rFont val="Calibri"/>
        <family val="2"/>
        <scheme val="minor"/>
      </rPr>
      <t xml:space="preserve"> (€/mq)</t>
    </r>
  </si>
  <si>
    <t>FUNZIONE (Uso)</t>
  </si>
  <si>
    <t>K2</t>
  </si>
  <si>
    <t>PARAMETRO DI CONVERSIONE VERSO USI NON RESIDENZIALI</t>
  </si>
  <si>
    <t>QCC = A x SC x % uso x % riduzione</t>
  </si>
  <si>
    <r>
      <t xml:space="preserve">Valore mercato </t>
    </r>
    <r>
      <rPr>
        <b/>
        <sz val="10"/>
        <rFont val="Calibri"/>
        <family val="2"/>
        <scheme val="minor"/>
      </rPr>
      <t>MAX</t>
    </r>
    <r>
      <rPr>
        <sz val="10"/>
        <rFont val="Calibri"/>
        <family val="2"/>
        <scheme val="minor"/>
      </rPr>
      <t xml:space="preserve"> (€/mq)</t>
    </r>
  </si>
  <si>
    <t>Funzione presente su OMI-Geopoi*</t>
  </si>
  <si>
    <t>Negozi</t>
  </si>
  <si>
    <t>Residenziale Abitazioni Civili</t>
  </si>
  <si>
    <t>Centri commerciali</t>
  </si>
  <si>
    <t>Uffici</t>
  </si>
  <si>
    <t>Funzione di progetto</t>
  </si>
  <si>
    <t>SC = mq</t>
  </si>
  <si>
    <r>
      <rPr>
        <b/>
        <sz val="10"/>
        <rFont val="Calibri"/>
        <family val="2"/>
      </rPr>
      <t>% uso:</t>
    </r>
    <r>
      <rPr>
        <sz val="10"/>
        <rFont val="Calibri"/>
        <family val="2"/>
      </rPr>
      <t xml:space="preserve"> indicare la destinazione d'uso di progetto da RUE (es: Uga, Ugb, Ugc, Ue, Ud ecc..)</t>
    </r>
  </si>
  <si>
    <r>
      <t>Uso</t>
    </r>
    <r>
      <rPr>
        <sz val="10"/>
        <rFont val="Calibri"/>
        <family val="2"/>
        <scheme val="minor"/>
      </rPr>
      <t xml:space="preserve"> </t>
    </r>
  </si>
  <si>
    <t>Ugc</t>
  </si>
  <si>
    <t>QCC = A x SC x % uso x % riduzione =</t>
  </si>
  <si>
    <t>QCC = A * SC  * ….% * % riduzione =</t>
  </si>
  <si>
    <t>Uga</t>
  </si>
  <si>
    <t>Ugb</t>
  </si>
  <si>
    <t>Ugd</t>
  </si>
  <si>
    <t>Uge</t>
  </si>
  <si>
    <t>Ue</t>
  </si>
  <si>
    <t>Uh</t>
  </si>
  <si>
    <t>Ud</t>
  </si>
  <si>
    <t>Ui</t>
  </si>
  <si>
    <t>Ul</t>
  </si>
  <si>
    <t>Um</t>
  </si>
  <si>
    <t>Un</t>
  </si>
  <si>
    <t>Uo</t>
  </si>
  <si>
    <t>Up</t>
  </si>
  <si>
    <t>Uu</t>
  </si>
  <si>
    <t>Uz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</si>
  <si>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(C)</t>
    </r>
    <r>
      <rPr>
        <b/>
        <sz val="10"/>
        <color theme="1"/>
        <rFont val="Calibri"/>
        <family val="2"/>
        <scheme val="minor"/>
      </rPr>
      <t xml:space="preserve"> =</t>
    </r>
  </si>
  <si>
    <r>
      <t xml:space="preserve">A </t>
    </r>
    <r>
      <rPr>
        <b/>
        <sz val="11"/>
        <rFont val="Calibri"/>
        <family val="2"/>
      </rPr>
      <t>= Val. OMI med. x 0,475</t>
    </r>
  </si>
  <si>
    <r>
      <rPr>
        <b/>
        <sz val="9"/>
        <color theme="1"/>
        <rFont val="Calibri"/>
        <family val="2"/>
        <scheme val="minor"/>
      </rPr>
      <t>*Attenzione:</t>
    </r>
    <r>
      <rPr>
        <sz val="9"/>
        <color theme="1"/>
        <rFont val="Calibri"/>
        <family val="2"/>
        <scheme val="minor"/>
      </rPr>
      <t xml:space="preserve"> nel caso la zona OMI luogo dell'intervento non contempli la funzione NON residenziale, inserire i valori corrispondenti alla</t>
    </r>
    <r>
      <rPr>
        <b/>
        <sz val="9"/>
        <color theme="1"/>
        <rFont val="Calibri"/>
        <family val="2"/>
        <scheme val="minor"/>
      </rPr>
      <t xml:space="preserve"> "Funzione residenziale - Abitazioni civili"</t>
    </r>
  </si>
  <si>
    <t>QCC = A x SC x (i) x 0,5 x % uso x % riduzione</t>
  </si>
  <si>
    <t>Uso di progetto</t>
  </si>
  <si>
    <t>SC =  mq</t>
  </si>
  <si>
    <r>
      <rPr>
        <b/>
        <sz val="10"/>
        <rFont val="Calibri"/>
        <family val="2"/>
      </rPr>
      <t xml:space="preserve">0,5 </t>
    </r>
    <r>
      <rPr>
        <sz val="10"/>
        <rFont val="Calibri"/>
        <family val="2"/>
      </rPr>
      <t xml:space="preserve">(vedi punto 5.5.4. della DAL) </t>
    </r>
  </si>
  <si>
    <r>
      <rPr>
        <b/>
        <sz val="10"/>
        <rFont val="Calibri"/>
        <family val="2"/>
      </rPr>
      <t xml:space="preserve">% uso: </t>
    </r>
    <r>
      <rPr>
        <sz val="10"/>
        <rFont val="Calibri"/>
        <family val="2"/>
      </rPr>
      <t>indicare la destinazione d'uso di progetto da RUE (es: Uga, Ugb, Ugc, Ue, Ud ecc..)</t>
    </r>
  </si>
  <si>
    <t>Uso</t>
  </si>
  <si>
    <t xml:space="preserve">QCC = A x SC x (i) x 0,5 x % uso x % riduzione = </t>
  </si>
  <si>
    <t>QCC = A * SC * (i) * 0,5 * ….% * % riduzione =</t>
  </si>
  <si>
    <r>
      <t>QCC</t>
    </r>
    <r>
      <rPr>
        <b/>
        <vertAlign val="subscript"/>
        <sz val="10"/>
        <color theme="1"/>
        <rFont val="Calibri"/>
        <family val="2"/>
        <scheme val="minor"/>
      </rPr>
      <t>(D)</t>
    </r>
    <r>
      <rPr>
        <b/>
        <sz val="10"/>
        <color theme="1"/>
        <rFont val="Calibri"/>
        <family val="2"/>
        <scheme val="minor"/>
      </rPr>
      <t xml:space="preserve"> =</t>
    </r>
  </si>
  <si>
    <t>(B x P) x SC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</si>
  <si>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QCC(A)</t>
    </r>
  </si>
  <si>
    <t xml:space="preserve"> (A x P) x SC x (i)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</si>
  <si>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QCC(B)</t>
    </r>
  </si>
  <si>
    <t>A x SC x % uso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</si>
  <si>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QCC(C)</t>
    </r>
  </si>
  <si>
    <t>A x SC x (i) x 0,5 x % uso x % riduzione</t>
  </si>
  <si>
    <r>
      <t xml:space="preserve">DA CALCOLARE ATTRAVERSO LA SCHEDA </t>
    </r>
    <r>
      <rPr>
        <b/>
        <sz val="10"/>
        <color theme="1"/>
        <rFont val="Calibri"/>
        <family val="2"/>
        <scheme val="minor"/>
      </rPr>
      <t>QCC(D)</t>
    </r>
  </si>
  <si>
    <r>
      <t xml:space="preserve">Standard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</si>
  <si>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Tariffa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</si>
  <si>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t>TOTALE QCC</t>
  </si>
  <si>
    <t>(scomputo variabile)</t>
  </si>
  <si>
    <t>TOTALE U1/U2</t>
  </si>
  <si>
    <t>Kd</t>
  </si>
  <si>
    <t>Ks</t>
  </si>
  <si>
    <r>
      <t xml:space="preserve">Tariffa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</si>
  <si>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%F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</si>
  <si>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Superficie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</si>
  <si>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Td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</si>
  <si>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Kd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</si>
  <si>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%F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</si>
  <si>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r>
      <t xml:space="preserve">Ts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</si>
  <si>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Ks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</si>
  <si>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Standard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</si>
  <si>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Tariffa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</si>
  <si>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A = (A2 - A1) x 0,475</t>
  </si>
  <si>
    <t>Tipologia edilizia stato di fatto</t>
  </si>
  <si>
    <t>A1</t>
  </si>
  <si>
    <t>A2</t>
  </si>
  <si>
    <t>2) Calcolare il valore OMI medio per la funzione allo stato di progetto (residenziale) = A2</t>
  </si>
  <si>
    <t xml:space="preserve">3) Calcolare il costo di costruzione convenzionale unitario A (come definito al punto 5.3.5 della DAL 186/2018) </t>
  </si>
  <si>
    <t xml:space="preserve">5) Calcolare l’incremento i e la maggiorazione M </t>
  </si>
  <si>
    <t xml:space="preserve">6) Calcolare il costo di costruzione unitario maggiorato B </t>
  </si>
  <si>
    <t>7) Calcolare il QCC relativo al costo di costruzione:</t>
  </si>
  <si>
    <t>4) Calcolare gli incrementi i1 e i2 seguendo le Tabelle1 e 2 (inserire i dati di progetto: n° alloggi, SU, SA)</t>
  </si>
  <si>
    <t>1) Calcolare il valore OMI medio per la funzione allo STATO DI FATTO (residenziale) = A1</t>
  </si>
  <si>
    <t>4) Calcolare il QCC relativo al costo di costruzione:</t>
  </si>
  <si>
    <t>Funzione stato di fatto</t>
  </si>
  <si>
    <t>Tipologia edilizia stato di progetto</t>
  </si>
  <si>
    <t>Area dotazione</t>
  </si>
  <si>
    <t>[mq]</t>
  </si>
  <si>
    <t>[€]</t>
  </si>
  <si>
    <t>Importo [€] della monetizzazione</t>
  </si>
  <si>
    <t>QCC(A)</t>
  </si>
  <si>
    <t>QCC(B)</t>
  </si>
  <si>
    <t>QCC(D)</t>
  </si>
  <si>
    <t>QCC(C)</t>
  </si>
  <si>
    <t>QCC(A.bis)</t>
  </si>
  <si>
    <t>QCC(C.bis)</t>
  </si>
  <si>
    <t>QCC(C.ter)</t>
  </si>
  <si>
    <r>
      <t xml:space="preserve">Tipologia Superficie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</si>
  <si>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t>Sf</t>
  </si>
  <si>
    <t>St</t>
  </si>
  <si>
    <t>V</t>
  </si>
  <si>
    <t>Sc</t>
  </si>
  <si>
    <t>Sv</t>
  </si>
  <si>
    <t>§</t>
  </si>
  <si>
    <t>Area (SdF)</t>
  </si>
  <si>
    <t>Area (SdP)</t>
  </si>
  <si>
    <t>Versamento Rata n. 2</t>
  </si>
  <si>
    <t>Versamento Rata n. 3</t>
  </si>
  <si>
    <t>TOTALE D+S</t>
  </si>
  <si>
    <t>TOTALE DOTAZIONE (Area)</t>
  </si>
  <si>
    <t>OBLAZIONE</t>
  </si>
  <si>
    <t>Interventi su edifici esistenti ad uso residenziale</t>
  </si>
  <si>
    <t>Interventi su edifici esistenti ad uso NON residenziale</t>
  </si>
  <si>
    <t>Nuova costruzione (o RE con demolizione e ricostruzione) ad uso residenziale</t>
  </si>
  <si>
    <t>Nuova costruzione (o RE con demolizione e ricostruzione) ad uso NON residenziale</t>
  </si>
  <si>
    <t>COMPILARE LA SCHEDA QCC(x) CORRISPONDENTE ALLA TIPOLOGIA D'INTERVENTO E ALLA DESTINAZIONE D'USO</t>
  </si>
  <si>
    <t>(scomputo T.U.  35%)</t>
  </si>
  <si>
    <r>
      <t xml:space="preserve">%V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</si>
  <si>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t>(scomputo T.U. 35%)</t>
  </si>
  <si>
    <t>Versamento Rata n. 1 + Fidejussione importi residui</t>
  </si>
  <si>
    <t>Importo fidejussione</t>
  </si>
  <si>
    <t>CONTRIBUTI DA CORRISPONDERE ALL'AMMINISTRAZIONE COMUNALE</t>
  </si>
  <si>
    <t>●</t>
  </si>
  <si>
    <t>U1/U2</t>
  </si>
  <si>
    <t>QCC</t>
  </si>
  <si>
    <t>CONTRIBUTO D</t>
  </si>
  <si>
    <t>CONTRIBUTO S</t>
  </si>
  <si>
    <t>CONTRIBUTO STRAORDINARIO</t>
  </si>
  <si>
    <t>CS</t>
  </si>
  <si>
    <t>MONETIZZAZIONE</t>
  </si>
  <si>
    <t>MONETIZZAZIONE DOTAZIONI/STANDARD PUBBLICI</t>
  </si>
  <si>
    <t>MODALITA' DI VERSAMENTO</t>
  </si>
  <si>
    <t>TIPOLOGIA DI SANATORIA</t>
  </si>
  <si>
    <t>CONTRIBUTO DI COSTRUZIONE (CdC)</t>
  </si>
  <si>
    <t>QCC (A)</t>
  </si>
  <si>
    <t>Costo di Costruzione</t>
  </si>
  <si>
    <r>
      <rPr>
        <b/>
        <i/>
        <sz val="11"/>
        <rFont val="Calibri"/>
        <family val="2"/>
        <scheme val="minor"/>
      </rPr>
      <t xml:space="preserve">Tipologia intervento: </t>
    </r>
    <r>
      <rPr>
        <b/>
        <sz val="11"/>
        <rFont val="Calibri"/>
        <family val="2"/>
        <scheme val="minor"/>
      </rPr>
      <t>NUOVA COSTRUZIONE, RISTRUTTURAZIONE EDILIZIA DA ATTUARSI MEDIANTE DEMOLIZIONE E RICOSTRUZIONE</t>
    </r>
  </si>
  <si>
    <r>
      <t xml:space="preserve">QCC (A.bis)            </t>
    </r>
    <r>
      <rPr>
        <b/>
        <sz val="12"/>
        <rFont val="Calibri (Corpo)_x0000_"/>
      </rPr>
      <t>Costo di Costruzione</t>
    </r>
  </si>
  <si>
    <r>
      <t xml:space="preserve">Categoria funzionale </t>
    </r>
    <r>
      <rPr>
        <b/>
        <i/>
        <u/>
        <sz val="11"/>
        <rFont val="Calibri (Corpo)_x0000_"/>
      </rPr>
      <t>stato di fatto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DIVERSA DALLA RESIDENZA</t>
    </r>
  </si>
  <si>
    <r>
      <t xml:space="preserve">Categoria funzionale di </t>
    </r>
    <r>
      <rPr>
        <b/>
        <i/>
        <u/>
        <sz val="11"/>
        <rFont val="Calibri (Corpo)_x0000_"/>
      </rPr>
      <t>progetto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RESIDENZA</t>
    </r>
  </si>
  <si>
    <t>1) Calcolare il valore OMI medio per la funzione allo stato di fatto (diversa dalla residenza) = A1</t>
  </si>
  <si>
    <t>QCC (B)</t>
  </si>
  <si>
    <r>
      <t xml:space="preserve">QCC </t>
    </r>
    <r>
      <rPr>
        <b/>
        <sz val="16"/>
        <rFont val="Calibri (Corpo)_x0000_"/>
      </rPr>
      <t>(C)</t>
    </r>
  </si>
  <si>
    <r>
      <t xml:space="preserve">QCC (C.bis)              </t>
    </r>
    <r>
      <rPr>
        <b/>
        <sz val="12"/>
        <rFont val="Calibri (Corpo)_x0000_"/>
      </rPr>
      <t>Costo di Costruzione</t>
    </r>
  </si>
  <si>
    <r>
      <rPr>
        <b/>
        <i/>
        <sz val="11"/>
        <rFont val="Calibri"/>
        <family val="2"/>
        <scheme val="minor"/>
      </rPr>
      <t xml:space="preserve">Categoria funzionale </t>
    </r>
    <r>
      <rPr>
        <b/>
        <i/>
        <u/>
        <sz val="11"/>
        <rFont val="Calibri (Corpo)_x0000_"/>
      </rPr>
      <t>stato di fatto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RESIDENZA</t>
    </r>
  </si>
  <si>
    <t>2) Calcolare il valore OMI medio per la funzione allo stato di PROGETTO (diversa dalla residenza) = A2</t>
  </si>
  <si>
    <r>
      <t xml:space="preserve">QCC (C.ter)                </t>
    </r>
    <r>
      <rPr>
        <b/>
        <sz val="12"/>
        <rFont val="Calibri (Corpo)_x0000_"/>
      </rPr>
      <t>Costo di Costruzione</t>
    </r>
  </si>
  <si>
    <t>1) Calcolare il valore OMI medio per la funzione allo STATO DI FATTO (diversa dalla residenza) = A1</t>
  </si>
  <si>
    <t>QCC (D)</t>
  </si>
  <si>
    <t xml:space="preserve">Dotazione [mq] </t>
  </si>
  <si>
    <r>
      <t xml:space="preserve">Tabella 5 – Stima dell’incidenza delle opere </t>
    </r>
    <r>
      <rPr>
        <b/>
        <sz val="10"/>
        <color rgb="FFFF0000"/>
        <rFont val="Calibri"/>
        <family val="2"/>
        <scheme val="minor"/>
      </rPr>
      <t>(indicare con 1  le ipotesi che ricorrono)</t>
    </r>
  </si>
  <si>
    <t>Da versare:</t>
  </si>
  <si>
    <t>Vedi Guida Calcolo "A" (ultimo foglio excel)</t>
  </si>
  <si>
    <r>
      <rPr>
        <b/>
        <sz val="10"/>
        <color theme="1"/>
        <rFont val="Calibri"/>
        <family val="2"/>
        <scheme val="minor"/>
      </rPr>
      <t>NC</t>
    </r>
    <r>
      <rPr>
        <sz val="10"/>
        <color theme="1"/>
        <rFont val="Calibri"/>
        <family val="2"/>
        <scheme val="minor"/>
      </rPr>
      <t xml:space="preserve"> nuova costruzione, </t>
    </r>
    <r>
      <rPr>
        <b/>
        <sz val="10"/>
        <color theme="1"/>
        <rFont val="Calibri"/>
        <family val="2"/>
        <scheme val="minor"/>
      </rPr>
      <t>RU</t>
    </r>
    <r>
      <rPr>
        <sz val="10"/>
        <color theme="1"/>
        <rFont val="Calibri"/>
        <family val="2"/>
        <scheme val="minor"/>
      </rPr>
      <t xml:space="preserve"> ristrutturazione urbanistica</t>
    </r>
  </si>
  <si>
    <r>
      <rPr>
        <b/>
        <sz val="10"/>
        <color theme="1"/>
        <rFont val="Calibri"/>
        <family val="2"/>
        <scheme val="minor"/>
      </rPr>
      <t>RE (+)</t>
    </r>
    <r>
      <rPr>
        <sz val="10"/>
        <color theme="1"/>
        <rFont val="Calibri"/>
        <family val="2"/>
        <scheme val="minor"/>
      </rPr>
      <t xml:space="preserve"> ristrutturazione edilizia con aumento di CU</t>
    </r>
  </si>
  <si>
    <r>
      <rPr>
        <b/>
        <sz val="10"/>
        <color theme="1"/>
        <rFont val="Calibri"/>
        <family val="2"/>
        <scheme val="minor"/>
      </rPr>
      <t>RE (-)</t>
    </r>
    <r>
      <rPr>
        <sz val="10"/>
        <color theme="1"/>
        <rFont val="Calibri"/>
        <family val="2"/>
        <scheme val="minor"/>
      </rPr>
      <t xml:space="preserve"> ristrutturazione edilizia senza aumento di CU</t>
    </r>
  </si>
  <si>
    <t>Residenziale, Turistico ricettiva, Direzionale</t>
  </si>
  <si>
    <t>Uf, Uh, Ud</t>
  </si>
  <si>
    <t>Aree esterne al T.U.</t>
  </si>
  <si>
    <t>Aree permeabili (…)</t>
  </si>
  <si>
    <t>Aree interne al T.U.</t>
  </si>
  <si>
    <t>Produttiva, Commerciale all'ingrosso, Rurale</t>
  </si>
  <si>
    <t>Uc, Ua, Ub</t>
  </si>
  <si>
    <r>
      <t xml:space="preserve">Funzione di progetto   </t>
    </r>
    <r>
      <rPr>
        <b/>
        <sz val="8"/>
        <color theme="1"/>
        <rFont val="Wingdings"/>
        <charset val="2"/>
      </rPr>
      <t>à</t>
    </r>
  </si>
  <si>
    <t>Residenziale, turistica, direzionale</t>
  </si>
  <si>
    <t>Commerciale al dettaglio e altre</t>
  </si>
  <si>
    <t>Produttiva, ingrosso, rurale</t>
  </si>
  <si>
    <t>Aree esterne al TU</t>
  </si>
  <si>
    <t>Aree interne al TU</t>
  </si>
  <si>
    <t>U1 (€/mq)</t>
  </si>
  <si>
    <t>Turistico ricettiva, impianti sportivi e ricreativi</t>
  </si>
  <si>
    <t>Commerciale e pubblici esercizi</t>
  </si>
  <si>
    <t>U2 (€/mq)</t>
  </si>
  <si>
    <r>
      <rPr>
        <b/>
        <i/>
        <sz val="11"/>
        <rFont val="Calibri"/>
        <family val="2"/>
        <scheme val="minor"/>
      </rPr>
      <t xml:space="preserve">Categoria funzionale di </t>
    </r>
    <r>
      <rPr>
        <b/>
        <i/>
        <u/>
        <sz val="11"/>
        <rFont val="Calibri"/>
        <family val="2"/>
        <scheme val="minor"/>
      </rPr>
      <t>progetto:</t>
    </r>
    <r>
      <rPr>
        <b/>
        <i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RESIDENZA</t>
    </r>
  </si>
  <si>
    <t>PRODURRE STAMPA PDF DEI VALORI OMI</t>
  </si>
  <si>
    <t>REPERITI SU PIATTAFORMA GEOPOI / ADE</t>
  </si>
  <si>
    <t>PRODURRE STAMPA PDF DELLA PRESENTE SCHEDA QCC (SE COMPILATA)</t>
  </si>
  <si>
    <t>PRODURRE PLANIMETRIE CON LA QUANTIFICAZIONE GRAFICA/ANALITICA DI SU E SA</t>
  </si>
  <si>
    <t>PRODURRE STAMPA PDF DEI VALORI OMI GEOPOI / ADE</t>
  </si>
  <si>
    <t>Incidenza (i1)</t>
  </si>
  <si>
    <r>
      <rPr>
        <b/>
        <i/>
        <sz val="11"/>
        <rFont val="Calibri"/>
        <family val="2"/>
        <scheme val="minor"/>
      </rPr>
      <t>Categoria funzionale</t>
    </r>
    <r>
      <rPr>
        <b/>
        <i/>
        <u/>
        <sz val="11"/>
        <rFont val="Calibri (Corpo)_x0000_"/>
      </rPr>
      <t>stato di fatto</t>
    </r>
    <r>
      <rPr>
        <b/>
        <i/>
        <sz val="11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DIVERSA DALLA RESIDENZA</t>
    </r>
  </si>
  <si>
    <t>PRODURRE STAMPA PDF VALORI OMI GEOPOI / ADE</t>
  </si>
  <si>
    <r>
      <t>Tabella 5 – Stima dell’incidenza delle opere</t>
    </r>
    <r>
      <rPr>
        <b/>
        <sz val="10"/>
        <color rgb="FFFF0000"/>
        <rFont val="Calibri"/>
        <family val="2"/>
        <scheme val="minor"/>
      </rPr>
      <t xml:space="preserve"> (indicare con 1  le ipotesi che ricorrono)</t>
    </r>
  </si>
  <si>
    <r>
      <t xml:space="preserve">Tariffe da utilizzare per calcolo </t>
    </r>
    <r>
      <rPr>
        <b/>
        <sz val="10"/>
        <color theme="1"/>
        <rFont val="Calibri"/>
        <family val="2"/>
        <scheme val="minor"/>
      </rPr>
      <t>CONTRIBUTI D-S</t>
    </r>
  </si>
  <si>
    <r>
      <t xml:space="preserve">sul parametro </t>
    </r>
    <r>
      <rPr>
        <b/>
        <sz val="10"/>
        <color theme="1"/>
        <rFont val="Calibri"/>
        <family val="2"/>
        <scheme val="minor"/>
      </rPr>
      <t>"AI" (Area d'insediamento all'aperto)</t>
    </r>
  </si>
  <si>
    <t>CONTRIBUTO "D"</t>
  </si>
  <si>
    <t>CONTRIBUTO "S"</t>
  </si>
  <si>
    <r>
      <rPr>
        <b/>
        <i/>
        <sz val="11"/>
        <rFont val="Calibri"/>
        <family val="2"/>
        <scheme val="minor"/>
      </rPr>
      <t xml:space="preserve">Categoria funzionale di </t>
    </r>
    <r>
      <rPr>
        <b/>
        <i/>
        <u/>
        <sz val="11"/>
        <rFont val="Calibri"/>
        <family val="2"/>
        <scheme val="minor"/>
      </rPr>
      <t>progetto:</t>
    </r>
    <r>
      <rPr>
        <b/>
        <i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COMMERCIALE, TURISTICO RICETTIVA, DIREZIONALE, FORNITRICE DI SERVIZI, DI CARATTERE NON ARTIGIANALE</t>
    </r>
  </si>
  <si>
    <r>
      <rPr>
        <b/>
        <i/>
        <sz val="11"/>
        <rFont val="Calibri"/>
        <family val="2"/>
        <scheme val="minor"/>
      </rPr>
      <t>Categoria funzionale di</t>
    </r>
    <r>
      <rPr>
        <b/>
        <i/>
        <u/>
        <sz val="11"/>
        <rFont val="Calibri (Corpo)_x0000_"/>
      </rPr>
      <t>progetto</t>
    </r>
    <r>
      <rPr>
        <b/>
        <sz val="11"/>
        <rFont val="Calibri"/>
        <family val="2"/>
        <scheme val="minor"/>
      </rPr>
      <t>: COMMERCIALE, TURISTICO RICETTIVA, DIREZIONALE, FORNITRICE DI SERVIZI, DI CARATTERE NON ARTIGIANALE</t>
    </r>
  </si>
  <si>
    <r>
      <t xml:space="preserve">Valori OMI reperiti su Geopoi (Agenzia Entrate) </t>
    </r>
    <r>
      <rPr>
        <b/>
        <sz val="10"/>
        <color rgb="FFFF0000"/>
        <rFont val="Calibri"/>
        <family val="2"/>
        <scheme val="minor"/>
      </rPr>
      <t>*</t>
    </r>
  </si>
  <si>
    <r>
      <t>Valori OMI reperiti su Geopoi (Agenzia Entrate)</t>
    </r>
    <r>
      <rPr>
        <b/>
        <sz val="10"/>
        <color rgb="FFFF0000"/>
        <rFont val="Calibri"/>
        <family val="2"/>
        <scheme val="minor"/>
      </rPr>
      <t xml:space="preserve"> *</t>
    </r>
  </si>
  <si>
    <t>MONETIZZAZIONE PARCHEGGI PRIVATI</t>
  </si>
  <si>
    <t>Standard</t>
  </si>
  <si>
    <t>Tariffa</t>
  </si>
  <si>
    <t>MPP1</t>
  </si>
  <si>
    <t>MPP2</t>
  </si>
  <si>
    <t>MPP</t>
  </si>
  <si>
    <t>DOTAZIONE CALCOLATA SULLA DIFFERENZA TRA STATO DI FATTO (SdF) E STATO DI PROGETTO (SdP)</t>
  </si>
  <si>
    <t>Oneri U1</t>
  </si>
  <si>
    <t>Oneri U2</t>
  </si>
  <si>
    <t>Contributo D</t>
  </si>
  <si>
    <t>Contributo S</t>
  </si>
  <si>
    <t>STRAORDINARIO</t>
  </si>
  <si>
    <t>Quota sul Costo di Costruzione</t>
  </si>
  <si>
    <r>
      <t xml:space="preserve">Il </t>
    </r>
    <r>
      <rPr>
        <b/>
        <sz val="8"/>
        <rFont val="Calibri"/>
        <family val="2"/>
        <scheme val="minor"/>
      </rPr>
      <t>Contributo Straordinario (CS)</t>
    </r>
    <r>
      <rPr>
        <sz val="8"/>
        <rFont val="Calibri"/>
        <family val="2"/>
        <scheme val="minor"/>
      </rPr>
      <t>, se dovuto</t>
    </r>
  </si>
  <si>
    <t>nei casi previsti di cui all'art. 4 DAL 186/2018,</t>
  </si>
  <si>
    <t>Contributo Straordinario</t>
  </si>
  <si>
    <r>
      <rPr>
        <b/>
        <sz val="8"/>
        <rFont val="Calibri"/>
        <family val="2"/>
        <scheme val="minor"/>
      </rPr>
      <t>deve essere quantificato e relazionato a parte</t>
    </r>
    <r>
      <rPr>
        <sz val="8"/>
        <rFont val="Calibri"/>
        <family val="2"/>
        <scheme val="minor"/>
      </rPr>
      <t>.</t>
    </r>
  </si>
  <si>
    <t>CITTA' PUBBLICA</t>
  </si>
  <si>
    <r>
      <t xml:space="preserve">Il </t>
    </r>
    <r>
      <rPr>
        <b/>
        <sz val="8"/>
        <rFont val="Calibri"/>
        <family val="2"/>
        <scheme val="minor"/>
      </rPr>
      <t>Contributo Città Pubblica (CP)</t>
    </r>
    <r>
      <rPr>
        <sz val="8"/>
        <rFont val="Calibri"/>
        <family val="2"/>
        <scheme val="minor"/>
      </rPr>
      <t>, se dovuto</t>
    </r>
  </si>
  <si>
    <t>nei casi previsti di cui agli artt. 1.2.9 e 1.2.4 del RUE,</t>
  </si>
  <si>
    <t xml:space="preserve">Mtot </t>
  </si>
  <si>
    <t>TOTALE MONETIZZAZIONE DOTAZIONI</t>
  </si>
  <si>
    <t>TOTALE DOVUTO (OBLAZIONE + MONETIZZAZIONE + CITTA'  PUBBLICA)</t>
  </si>
  <si>
    <t>Mtot</t>
  </si>
  <si>
    <t>CP</t>
  </si>
  <si>
    <t>ONERI DI URBANIZZAZIONE</t>
  </si>
  <si>
    <t>QUOTA SUL COSTO DI COSTRUZIONE</t>
  </si>
  <si>
    <t>CONTRIBUTO CITTA' PUBBLICA</t>
  </si>
  <si>
    <t>TOTALE (Oblazione/CS + Mtot + CP)</t>
  </si>
  <si>
    <t>TOTALE tranne CP</t>
  </si>
  <si>
    <t>Cambi d'uso senza opere con aumento CU, verso uso residenziale</t>
  </si>
  <si>
    <t>NC</t>
  </si>
  <si>
    <r>
      <t xml:space="preserve">Tariffe da utilizzare per calcolo </t>
    </r>
    <r>
      <rPr>
        <b/>
        <sz val="10"/>
        <color theme="1"/>
        <rFont val="Calibri"/>
        <family val="2"/>
        <scheme val="minor"/>
      </rPr>
      <t xml:space="preserve">ONERI U1-U2 </t>
    </r>
  </si>
  <si>
    <t>RE + CU</t>
  </si>
  <si>
    <t>Produttiva/Rurale svolta da non avente titolo</t>
  </si>
  <si>
    <t>RE - CU</t>
  </si>
  <si>
    <t>MU SenzaOpere + CU</t>
  </si>
  <si>
    <t>MU ConOpere + CU</t>
  </si>
  <si>
    <t>AI</t>
  </si>
  <si>
    <t>Td</t>
  </si>
  <si>
    <t>Ts</t>
  </si>
  <si>
    <t>Td Funzione all'aperto</t>
  </si>
  <si>
    <t>Ts Funzione all'aperto</t>
  </si>
  <si>
    <t>N.B. produrre anche la stampa PDF delle Schede QCC compilate (ed il file excel completo)</t>
  </si>
  <si>
    <t>Cambi d'uso senza opere con aumento CU, verso uso NON residenziale</t>
  </si>
  <si>
    <t xml:space="preserve">Cambi d'uso senza opere con aumento CU, verso uso NON residenziale </t>
  </si>
  <si>
    <t>(Stato legittimato NON residenziale)</t>
  </si>
  <si>
    <t>(Stato legittimato residenziale)</t>
  </si>
  <si>
    <r>
      <t xml:space="preserve">SL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</si>
  <si>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SL</t>
  </si>
  <si>
    <r>
      <t xml:space="preserve">SL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</si>
  <si>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r>
      <t xml:space="preserve">CAMBIO D'USO </t>
    </r>
    <r>
      <rPr>
        <b/>
        <u/>
        <sz val="10"/>
        <rFont val="Calibri"/>
        <family val="2"/>
        <scheme val="minor"/>
      </rPr>
      <t>SENZA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U1</t>
    </r>
    <r>
      <rPr>
        <b/>
        <sz val="10"/>
        <rFont val="Calibri"/>
        <family val="2"/>
        <scheme val="minor"/>
      </rPr>
      <t xml:space="preserve"> (art. 1.3.4)</t>
    </r>
  </si>
  <si>
    <r>
      <t xml:space="preserve">CAMBIO D'USO </t>
    </r>
    <r>
      <rPr>
        <b/>
        <u/>
        <sz val="10"/>
        <rFont val="Calibri"/>
        <family val="2"/>
        <scheme val="minor"/>
      </rPr>
      <t>SENZA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U2</t>
    </r>
    <r>
      <rPr>
        <b/>
        <sz val="10"/>
        <rFont val="Calibri"/>
        <family val="2"/>
        <scheme val="minor"/>
      </rPr>
      <t xml:space="preserve"> (art. 1.3.4)</t>
    </r>
  </si>
  <si>
    <t>Link OMI Geopoi (ADE)</t>
  </si>
  <si>
    <t>Valori OMI reperiti su Geopoi (Agenzia Entrate)</t>
  </si>
  <si>
    <t>STATO CONSERVATIVO (reperito su OMI-Geopoi)</t>
  </si>
  <si>
    <t>STATO DI FATTO (funzione diversa dalla residenza)</t>
  </si>
  <si>
    <t>Capannoni</t>
  </si>
  <si>
    <t>Laboratori</t>
  </si>
  <si>
    <t>Magazzini</t>
  </si>
  <si>
    <t>STATO DI PROGETTO (funzione residenziale)</t>
  </si>
  <si>
    <t>Tipologia edilizia su OMI-Geopoi *</t>
  </si>
  <si>
    <t>Uv</t>
  </si>
  <si>
    <t>STATO DI FATTO (funzione residenziale)</t>
  </si>
  <si>
    <t>STATO DI PROGETTO (funzione diversa dalla residenza)</t>
  </si>
  <si>
    <t>Funzione di fatto</t>
  </si>
  <si>
    <t>se dovuto nei casi previsti di cui agli artt. 1.2.9 e 1.2.4 del RUE,</t>
  </si>
  <si>
    <t>devono essere quantificati e relazionati a parte.</t>
  </si>
  <si>
    <r>
      <rPr>
        <b/>
        <sz val="9"/>
        <color rgb="FFFF0000"/>
        <rFont val="Calibri (Corpo)_x0000_"/>
      </rPr>
      <t>(CS)</t>
    </r>
    <r>
      <rPr>
        <b/>
        <sz val="9"/>
        <color theme="1"/>
        <rFont val="Calibri"/>
        <family val="2"/>
        <scheme val="minor"/>
      </rPr>
      <t xml:space="preserve"> CONTRIBUTO</t>
    </r>
  </si>
  <si>
    <r>
      <rPr>
        <b/>
        <sz val="9"/>
        <color rgb="FFFF0000"/>
        <rFont val="Calibri (Corpo)_x0000_"/>
      </rPr>
      <t xml:space="preserve">(CP) </t>
    </r>
    <r>
      <rPr>
        <b/>
        <sz val="9"/>
        <color theme="1"/>
        <rFont val="Calibri"/>
        <family val="2"/>
        <scheme val="minor"/>
      </rPr>
      <t>CONTRIBUTO</t>
    </r>
  </si>
  <si>
    <r>
      <t xml:space="preserve">Il </t>
    </r>
    <r>
      <rPr>
        <b/>
        <sz val="8"/>
        <rFont val="Calibri"/>
        <family val="2"/>
        <scheme val="minor"/>
      </rPr>
      <t>Contributo Straordinario (CS)</t>
    </r>
    <r>
      <rPr>
        <sz val="8"/>
        <rFont val="Calibri"/>
        <family val="2"/>
        <scheme val="minor"/>
      </rPr>
      <t>, se dovuto nei casi previsti di cui</t>
    </r>
  </si>
  <si>
    <r>
      <t xml:space="preserve"> all'art. 4 DAL 186/2018, oppure il </t>
    </r>
    <r>
      <rPr>
        <b/>
        <sz val="8"/>
        <rFont val="Calibri"/>
        <family val="2"/>
        <scheme val="minor"/>
      </rPr>
      <t>Contributo Città Pubblica (CP),</t>
    </r>
  </si>
  <si>
    <t>Attenzione: i coefficienti correttivi "k" sono stati modificati con DGR 767/2022, tuttavia la metodologia di calcolo non cambia</t>
  </si>
  <si>
    <r>
      <t>CAMBIO D'USO</t>
    </r>
    <r>
      <rPr>
        <b/>
        <u/>
        <sz val="10"/>
        <rFont val="Calibri"/>
        <family val="2"/>
        <scheme val="minor"/>
      </rPr>
      <t xml:space="preserve"> 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U2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esclusi usi Uga, Ugb, Uge di progetto</t>
    </r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</si>
  <si>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U1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solo per usi Uga, Ugb, Uge di progetto</t>
    </r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</si>
  <si>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</t>
    </r>
    <r>
      <rPr>
        <b/>
        <sz val="12"/>
        <rFont val="Calibri"/>
        <family val="2"/>
        <scheme val="minor"/>
      </rPr>
      <t>U2</t>
    </r>
    <r>
      <rPr>
        <b/>
        <sz val="10"/>
        <rFont val="Calibri"/>
        <family val="2"/>
        <scheme val="minor"/>
      </rPr>
      <t xml:space="preserve"> (art. 1.3.5 lett. c) - </t>
    </r>
    <r>
      <rPr>
        <b/>
        <sz val="11"/>
        <rFont val="Calibri"/>
        <family val="2"/>
        <scheme val="minor"/>
      </rPr>
      <t>solo per usi Uga, Ugb, Uge di progetto</t>
    </r>
  </si>
  <si>
    <t>RE - CU (Uga Ugb Uge)</t>
  </si>
  <si>
    <t>ad esempio in caso di cambio d'uso o ristrutturazione edilizia riconfigurativa</t>
  </si>
  <si>
    <t>PRODURRE VISURA CATASTALE</t>
  </si>
  <si>
    <t>Tipologia Superficie</t>
  </si>
  <si>
    <t>Superficie</t>
  </si>
  <si>
    <t>VERDE ATTREZZATO</t>
  </si>
  <si>
    <t>ISTRUZIONE</t>
  </si>
  <si>
    <t>INTERESSE COMUNE</t>
  </si>
  <si>
    <t>CULTO</t>
  </si>
  <si>
    <t>Da reperire o monetizzare</t>
  </si>
  <si>
    <t>MVS</t>
  </si>
  <si>
    <t>MONETIZZAZIONE VERDE E ALTRI STANDARD (MVS)</t>
  </si>
  <si>
    <t>MONETIZZAZIONE VERDE E ALTRI STANDARD</t>
  </si>
  <si>
    <t>Vai a pag. 8/9</t>
  </si>
  <si>
    <t>Vai a pag. 7/9</t>
  </si>
  <si>
    <t>Commerciale e altre (escluso Uga - Uge - Ugb)</t>
  </si>
  <si>
    <r>
      <rPr>
        <b/>
        <sz val="10"/>
        <color rgb="FFFF0000"/>
        <rFont val="Calibri"/>
        <family val="2"/>
      </rPr>
      <t>SC</t>
    </r>
    <r>
      <rPr>
        <sz val="10"/>
        <color rgb="FFFF0000"/>
        <rFont val="Calibri"/>
        <family val="2"/>
      </rPr>
      <t xml:space="preserve"> è la superficie complessiva </t>
    </r>
  </si>
  <si>
    <r>
      <rPr>
        <b/>
        <sz val="10"/>
        <color rgb="FFFF0000"/>
        <rFont val="Calibri"/>
        <family val="2"/>
      </rPr>
      <t>SC</t>
    </r>
    <r>
      <rPr>
        <sz val="10"/>
        <color rgb="FFFF0000"/>
        <rFont val="Calibri"/>
        <family val="2"/>
      </rPr>
      <t xml:space="preserve"> è la superficie complessiva</t>
    </r>
  </si>
  <si>
    <t>Produrre Allegato 1D e 1E</t>
  </si>
  <si>
    <t>Produrre Allegato 1D e 1E (dimostrazone grafica/analitica superfici)</t>
  </si>
  <si>
    <t>(dimostrazone grafica/analitica superfici SU-SA)</t>
  </si>
  <si>
    <t>Produrre Allegato 1F (dimostrazione grafica superfici)</t>
  </si>
  <si>
    <r>
      <t xml:space="preserve">SC </t>
    </r>
    <r>
      <rPr>
        <sz val="10"/>
        <color rgb="FFFF0000"/>
        <rFont val="Calibri"/>
        <family val="2"/>
      </rPr>
      <t xml:space="preserve">è la superficie complessiva </t>
    </r>
  </si>
  <si>
    <t>* selezionare Ottimo SOLO se</t>
  </si>
  <si>
    <t xml:space="preserve"> disponibile sulla piattaforma GEOPOI</t>
  </si>
  <si>
    <t>la QCC non può mai essere inferiore a quella calcolata senza opere.</t>
  </si>
  <si>
    <r>
      <t xml:space="preserve">Tipologia intervento: </t>
    </r>
    <r>
      <rPr>
        <b/>
        <sz val="11"/>
        <rFont val="Calibri"/>
        <family val="2"/>
        <scheme val="minor"/>
      </rPr>
      <t xml:space="preserve">CAMBIO D'USO </t>
    </r>
    <r>
      <rPr>
        <b/>
        <u/>
        <sz val="11"/>
        <rFont val="Calibri"/>
        <family val="2"/>
        <scheme val="minor"/>
      </rPr>
      <t>SENZA OPERE</t>
    </r>
    <r>
      <rPr>
        <b/>
        <u/>
        <sz val="11"/>
        <color rgb="FFFF0000"/>
        <rFont val="Calibri"/>
        <family val="2"/>
        <scheme val="minor"/>
      </rPr>
      <t xml:space="preserve"> *</t>
    </r>
    <r>
      <rPr>
        <b/>
        <sz val="11"/>
        <rFont val="Calibri"/>
        <family val="2"/>
        <scheme val="minor"/>
      </rPr>
      <t xml:space="preserve"> CON INCREMENTO DI CARICO URBANISTICO</t>
    </r>
  </si>
  <si>
    <t>Standard*</t>
  </si>
  <si>
    <t>*a titolo esemplificativo uso Uf in PCC-PUA</t>
  </si>
  <si>
    <t>Produrre Allegato 1D (dimostrazione grafica/analitica superfici)</t>
  </si>
  <si>
    <t>MONETIZZAZIONE PARCHEGGI PRIVATI (MPP)</t>
  </si>
  <si>
    <t>ATTENZIONE: nella SA occorre considerare anche le superfici accessorie che non rientrano nelle limitazioni da RUE (es: balconi, portici ecc.. Vedasi DTU)</t>
  </si>
  <si>
    <t>TIPOLOGIA EDILIZIA</t>
  </si>
  <si>
    <t>NC progetto - NC esistente</t>
  </si>
  <si>
    <r>
      <t xml:space="preserve">(NC progetto - NC esistente) + REnoCU </t>
    </r>
    <r>
      <rPr>
        <b/>
        <sz val="14"/>
        <color rgb="FFFF0000"/>
        <rFont val="Calibri"/>
        <family val="2"/>
        <scheme val="minor"/>
      </rPr>
      <t>≤ RE+</t>
    </r>
  </si>
  <si>
    <t>A</t>
  </si>
  <si>
    <t xml:space="preserve">(NC x o x Pc x 1000) / SC    = </t>
  </si>
  <si>
    <r>
      <t xml:space="preserve">Questo è il </t>
    </r>
    <r>
      <rPr>
        <b/>
        <i/>
        <sz val="10"/>
        <color rgb="FFFF0000"/>
        <rFont val="Calibri"/>
        <family val="2"/>
        <scheme val="minor"/>
      </rPr>
      <t>valore OMI</t>
    </r>
    <r>
      <rPr>
        <b/>
        <sz val="10"/>
        <color rgb="FFFF0000"/>
        <rFont val="Calibri"/>
        <family val="2"/>
        <scheme val="minor"/>
      </rPr>
      <t xml:space="preserve"> da inserire nella tabella sovrastante, nelle caselle MIN e MAX allo </t>
    </r>
    <r>
      <rPr>
        <b/>
        <i/>
        <sz val="10"/>
        <color rgb="FFFF0000"/>
        <rFont val="Calibri"/>
        <family val="2"/>
        <scheme val="minor"/>
      </rPr>
      <t>stato conservativo</t>
    </r>
    <r>
      <rPr>
        <b/>
        <sz val="10"/>
        <color rgb="FFFF0000"/>
        <rFont val="Calibri"/>
        <family val="2"/>
        <scheme val="minor"/>
      </rPr>
      <t xml:space="preserve"> OTTIMO. La </t>
    </r>
    <r>
      <rPr>
        <b/>
        <i/>
        <sz val="10"/>
        <color rgb="FFFF0000"/>
        <rFont val="Calibri"/>
        <family val="2"/>
        <scheme val="minor"/>
      </rPr>
      <t>funzione (Uso)</t>
    </r>
    <r>
      <rPr>
        <b/>
        <sz val="10"/>
        <color rgb="FFFF0000"/>
        <rFont val="Calibri"/>
        <family val="2"/>
        <scheme val="minor"/>
      </rPr>
      <t xml:space="preserve"> deve essere ripetuta e quindi selezionata uguale sia per la funzione presente che per quella di progetto.</t>
    </r>
  </si>
  <si>
    <t>Numero delle camere della struttura alberghiera</t>
  </si>
  <si>
    <t>o</t>
  </si>
  <si>
    <t>Tasso di occupazione media Comunale fornito dal Servizio di Statistica Regionale *</t>
  </si>
  <si>
    <t>Dati ed elaborazioni periodiche — Statistica (regione.emilia-romagna.it)</t>
  </si>
  <si>
    <t>Pc (€)</t>
  </si>
  <si>
    <t>http://www.trademarkitalia.com/index.cfm</t>
  </si>
  <si>
    <t>SC (mq)</t>
  </si>
  <si>
    <t>Superficie Complessiva (SC=SU+0,6*SA) della struttura alberghiera (da dimostrare SU e SA con appositi elaborati)</t>
  </si>
  <si>
    <t>Note:</t>
  </si>
  <si>
    <r>
      <rPr>
        <b/>
        <i/>
        <sz val="11"/>
        <rFont val="Calibri"/>
        <family val="2"/>
        <scheme val="minor"/>
      </rPr>
      <t xml:space="preserve">Tipologia intervento: </t>
    </r>
    <r>
      <rPr>
        <b/>
        <sz val="11"/>
        <rFont val="Calibri"/>
        <family val="2"/>
        <scheme val="minor"/>
      </rPr>
      <t>NUOVA COSTRUZIONE, RISTRUTTURAZIONE EDILIZIA DA ATTUARSI MEDIANTE DEMOLIZIONE E RICOSTRUZIONE, OPERE PERTINENZIALI E PISCINE E PERTINENZIALI (SU=0,  SA=SUP. PISCINA).</t>
    </r>
  </si>
  <si>
    <t>PARAMETRO DI CONVERSIONE TIPOLOGIA EDILIZIA</t>
  </si>
  <si>
    <t>n.d.</t>
  </si>
  <si>
    <t>n.d</t>
  </si>
  <si>
    <t>Tariffa:</t>
  </si>
  <si>
    <t>può essere pari a 0,00 €/mq oppure pari a RE(-)</t>
  </si>
  <si>
    <t>DA CALCOLARE SOLO IN CASI PARTICOLARI *</t>
  </si>
  <si>
    <r>
      <rPr>
        <b/>
        <sz val="10"/>
        <color theme="1"/>
        <rFont val="Calibri"/>
        <family val="2"/>
        <scheme val="minor"/>
      </rPr>
      <t>RE (-)</t>
    </r>
    <r>
      <rPr>
        <sz val="10"/>
        <color theme="1"/>
        <rFont val="Calibri"/>
        <family val="2"/>
        <scheme val="minor"/>
      </rPr>
      <t xml:space="preserve"> ristrutturazione edilizia senza aumento di CU solo per gli usi </t>
    </r>
    <r>
      <rPr>
        <b/>
        <sz val="10"/>
        <color theme="1"/>
        <rFont val="Calibri"/>
        <family val="2"/>
        <scheme val="minor"/>
      </rPr>
      <t>Uga, Ugb,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Uge</t>
    </r>
  </si>
  <si>
    <r>
      <t xml:space="preserve">Contributi D e S </t>
    </r>
    <r>
      <rPr>
        <sz val="10"/>
        <color theme="1"/>
        <rFont val="Calibri"/>
        <family val="2"/>
        <scheme val="minor"/>
      </rPr>
      <t>(solo per funzione produttiva e rurale svolta da non avente titolo)</t>
    </r>
  </si>
  <si>
    <t>€/mq di SL</t>
  </si>
  <si>
    <t xml:space="preserve">Ts </t>
  </si>
  <si>
    <t>FUNZIONE SVOLTA ALL'APERTO                              (Tab. A)</t>
  </si>
  <si>
    <t>FUNZIONE SVOLTA ALL'APERTO                           (Tab. B)</t>
  </si>
  <si>
    <t>Td (€/mq di SL)</t>
  </si>
  <si>
    <t>Ts (€/mq di SL)</t>
  </si>
  <si>
    <t>MU Con Opere + CU (Uga, Ugb, Uge)</t>
  </si>
  <si>
    <r>
      <t>Prezzo medio di una camera nel bacino di utenza analizzato</t>
    </r>
    <r>
      <rPr>
        <sz val="8"/>
        <rFont val="Calibri"/>
        <family val="2"/>
        <scheme val="minor"/>
      </rPr>
      <t xml:space="preserve"> **</t>
    </r>
  </si>
  <si>
    <t>** Prezzo medio di una camera dedotto da Italia Hotel Monitor, consuntivo annuale, prezzo 4 stelle per Parma (per triennio 2022-2025 pari a € 95,21)</t>
  </si>
  <si>
    <r>
      <t xml:space="preserve">CALCOLO DEL PARAMETRO </t>
    </r>
    <r>
      <rPr>
        <b/>
        <sz val="11"/>
        <color rgb="FFFF0000"/>
        <rFont val="Calibri"/>
        <family val="2"/>
        <scheme val="minor"/>
      </rPr>
      <t>"A"</t>
    </r>
    <r>
      <rPr>
        <b/>
        <sz val="11"/>
        <rFont val="Calibri"/>
        <family val="2"/>
        <scheme val="minor"/>
      </rPr>
      <t xml:space="preserve"> PER LA </t>
    </r>
    <r>
      <rPr>
        <b/>
        <u/>
        <sz val="11"/>
        <color rgb="FFFF0000"/>
        <rFont val="Calibri"/>
        <family val="2"/>
        <scheme val="minor"/>
      </rPr>
      <t>FUNZIONE ALBERGHIERA</t>
    </r>
    <r>
      <rPr>
        <b/>
        <sz val="11"/>
        <rFont val="Calibri"/>
        <family val="2"/>
        <scheme val="minor"/>
      </rPr>
      <t xml:space="preserve"> IN ASSENZA DI VALORI OMI PER LA ZONA CONSIDERATA </t>
    </r>
    <r>
      <rPr>
        <sz val="11"/>
        <rFont val="Calibri"/>
        <family val="2"/>
        <scheme val="minor"/>
      </rPr>
      <t>(fare stampa screen se ricorre il caso)</t>
    </r>
  </si>
  <si>
    <r>
      <t xml:space="preserve">CALCOLO DEL PARAMETRO </t>
    </r>
    <r>
      <rPr>
        <b/>
        <sz val="11"/>
        <color rgb="FFFF0000"/>
        <rFont val="Calibri"/>
        <family val="2"/>
        <scheme val="minor"/>
      </rPr>
      <t xml:space="preserve">"A" </t>
    </r>
    <r>
      <rPr>
        <b/>
        <sz val="11"/>
        <rFont val="Calibri"/>
        <family val="2"/>
        <scheme val="minor"/>
      </rPr>
      <t xml:space="preserve">PER LA </t>
    </r>
    <r>
      <rPr>
        <b/>
        <u/>
        <sz val="11"/>
        <color rgb="FFFF0000"/>
        <rFont val="Calibri"/>
        <family val="2"/>
        <scheme val="minor"/>
      </rPr>
      <t>FUNZIONE ALBERGHIERA</t>
    </r>
    <r>
      <rPr>
        <b/>
        <sz val="11"/>
        <rFont val="Calibri"/>
        <family val="2"/>
        <scheme val="minor"/>
      </rPr>
      <t xml:space="preserve"> IN ASSENZA DI VALORI OMI PER LA ZONA CONSIDERATA </t>
    </r>
    <r>
      <rPr>
        <i/>
        <sz val="11"/>
        <rFont val="Calibri"/>
        <family val="2"/>
        <scheme val="minor"/>
      </rPr>
      <t>(fare stampa screen se ricorre il caso)</t>
    </r>
  </si>
  <si>
    <r>
      <t xml:space="preserve">CAMBIO D'USO </t>
    </r>
    <r>
      <rPr>
        <b/>
        <u/>
        <sz val="10"/>
        <rFont val="Calibri"/>
        <family val="2"/>
        <scheme val="minor"/>
      </rPr>
      <t>CON OPERE</t>
    </r>
    <r>
      <rPr>
        <b/>
        <sz val="10"/>
        <rFont val="Calibri"/>
        <family val="2"/>
        <scheme val="minor"/>
      </rPr>
      <t xml:space="preserve"> CON AUMENTO DI CARICO URBANISTICO - U1 (art. 1.3.5 lett. c) - esclusi usi Uga, Ugb, Uge di progetto</t>
    </r>
  </si>
  <si>
    <t>Uga - Ugb - Uge</t>
  </si>
  <si>
    <t>n.d. = non determinato, da calcolare (fz. uso specifico)</t>
  </si>
  <si>
    <t>Nota per AUTORIMESSE, PISCINE, PERTINENZE:</t>
  </si>
  <si>
    <t>Utilizzare i Valori OMI dell'abitazione di cui sono pertinenze</t>
  </si>
  <si>
    <t>NON utilizzare i Valori OMI dei Box</t>
  </si>
  <si>
    <r>
      <rPr>
        <b/>
        <i/>
        <sz val="11"/>
        <rFont val="Calibri"/>
        <family val="2"/>
        <scheme val="minor"/>
      </rPr>
      <t xml:space="preserve">Tipologia intervento: </t>
    </r>
    <r>
      <rPr>
        <b/>
        <sz val="11"/>
        <rFont val="Calibri"/>
        <family val="2"/>
        <scheme val="minor"/>
      </rPr>
      <t>INTERVENTI SU EDIFICI ESISTENTI (Es: ristrutturazione edilizia, ad esclusione di quella ricostruttiva)</t>
    </r>
  </si>
  <si>
    <t>* Tasso di Occupazione media Comunale (ultimo dato disponibile 40,04% consuntivo 2022)</t>
  </si>
  <si>
    <t>NOTA per recupero edifici di valore architettonico ambientale e storico testimoniale:</t>
  </si>
  <si>
    <t>allo stato di fatto, per usi ex agricoli, occorre utilizzare i Valori OMI più affini, cioè quelli della funzione produttiva</t>
  </si>
  <si>
    <t>Ug, Ue</t>
  </si>
  <si>
    <r>
      <t xml:space="preserve">TABELLA PARAMETRICA ONERI DI URBANIZZAZIONE U1 U2 AGGIORNAMENTO DGR 91/2024 </t>
    </r>
    <r>
      <rPr>
        <b/>
        <sz val="11"/>
        <color rgb="FFFF0000"/>
        <rFont val="Calibri"/>
        <family val="2"/>
        <scheme val="minor"/>
      </rPr>
      <t>(in vigore dal 23/01/2024)</t>
    </r>
  </si>
  <si>
    <r>
      <t xml:space="preserve">Tipologia intervento: </t>
    </r>
    <r>
      <rPr>
        <b/>
        <sz val="11"/>
        <rFont val="Calibri"/>
        <family val="2"/>
        <scheme val="minor"/>
      </rPr>
      <t>INTERVENTI SU EDIFICI ESISTENTI (Es: ristrutturazione edilizia, ad esclusione di quella ricostruttiva)</t>
    </r>
  </si>
  <si>
    <t>Commerciale al dettaglio, pubblici esercizi, artigianato di servizio</t>
  </si>
  <si>
    <t>% riduzione: scomputo non applicabile ai titoli in sanatoria (vedasi parere Regione ER Prot. 463126 del 24 giugno 2020).</t>
  </si>
  <si>
    <t xml:space="preserve"> </t>
  </si>
  <si>
    <r>
      <t xml:space="preserve">Solo </t>
    </r>
    <r>
      <rPr>
        <b/>
        <sz val="10"/>
        <color theme="1"/>
        <rFont val="Calibri"/>
        <family val="2"/>
        <scheme val="minor"/>
      </rPr>
      <t>nei casi di esonero del Contributo di Costruzione</t>
    </r>
    <r>
      <rPr>
        <sz val="10"/>
        <color theme="1"/>
        <rFont val="Calibri"/>
        <family val="2"/>
        <scheme val="minor"/>
      </rPr>
      <t xml:space="preserve"> (art. 32 L.R. n. 15/2013) </t>
    </r>
    <r>
      <rPr>
        <b/>
        <sz val="10"/>
        <color theme="1"/>
        <rFont val="Calibri"/>
        <family val="2"/>
        <scheme val="minor"/>
      </rPr>
      <t>non si procede al raddoppio</t>
    </r>
  </si>
  <si>
    <t>NEL PDC IN SANATORIA</t>
  </si>
  <si>
    <t>CALCOLO OBLAZIONE PDC AI SENSI D.L. 69/2024 "DECRETO SALVA CASA" E MONETIZZAZIONE</t>
  </si>
  <si>
    <t>OBLAZIONE DOVUTA</t>
  </si>
  <si>
    <t>selezionare</t>
  </si>
  <si>
    <t>RIEPILOGO OBLAZIONE E MODALITA' DI VERSAMENTO</t>
  </si>
  <si>
    <t>OBLAZIONE = CdC x 2</t>
  </si>
  <si>
    <t>OBLAZIONE = CdC x 1</t>
  </si>
  <si>
    <t>SI - NO</t>
  </si>
  <si>
    <t>SI - SI</t>
  </si>
  <si>
    <t>NO - NO</t>
  </si>
  <si>
    <t>NO - SI</t>
  </si>
  <si>
    <t>Pag 7/7</t>
  </si>
  <si>
    <t>Pag. 6/7</t>
  </si>
  <si>
    <t>Pag 5/7</t>
  </si>
  <si>
    <t>Pag 4/7</t>
  </si>
  <si>
    <t>Pag 3/7</t>
  </si>
  <si>
    <t>Pag 2/7</t>
  </si>
  <si>
    <t>Pag 1/7</t>
  </si>
  <si>
    <t>Entro 30 gg dal rilascio del PdC</t>
  </si>
  <si>
    <t>Non rateizzabile ai sensi della DD 2383/2020</t>
  </si>
  <si>
    <r>
      <t xml:space="preserve">Per </t>
    </r>
    <r>
      <rPr>
        <b/>
        <sz val="10"/>
        <color theme="1"/>
        <rFont val="Calibri"/>
        <family val="2"/>
        <scheme val="minor"/>
      </rPr>
      <t>interventi privi di Doppia Conformità</t>
    </r>
    <r>
      <rPr>
        <sz val="10"/>
        <color theme="1"/>
        <rFont val="Calibri"/>
        <family val="2"/>
        <scheme val="minor"/>
      </rPr>
      <t>, l'</t>
    </r>
    <r>
      <rPr>
        <b/>
        <sz val="10"/>
        <color theme="1"/>
        <rFont val="Calibri"/>
        <family val="2"/>
        <scheme val="minor"/>
      </rPr>
      <t>oblazione va incrementata del 20%</t>
    </r>
  </si>
  <si>
    <t>L'art. 32 L.R. 15/2013 indica quali sono gli interventi esonerati dalla corresponsione del Contributo di Costruzione (in via ordinaria).</t>
  </si>
  <si>
    <t>Se lo stesso intervento (esonerato dal CdC in via ordinaria) viene proposto in sanatoria, l'oblazione è pari al CdC e non si procede al raddoppio.</t>
  </si>
  <si>
    <t>L'intervento risulta conforme alla disciplina urbanistica ed edilizia vigente sia al momento di realizzazione dello stesso,</t>
  </si>
  <si>
    <t>sia al momento di presentazione della domanda di Permesso di Costruire in Sanatoria.</t>
  </si>
  <si>
    <r>
      <t xml:space="preserve">Sanatoria con Doppia Conformità </t>
    </r>
    <r>
      <rPr>
        <b/>
        <vertAlign val="superscript"/>
        <sz val="12"/>
        <color rgb="FFFF0000"/>
        <rFont val="Calibri"/>
        <family val="2"/>
        <scheme val="minor"/>
      </rPr>
      <t>(1)</t>
    </r>
  </si>
  <si>
    <r>
      <t xml:space="preserve">Esonero del CdC ex art. 32 L.R. 15/2013 </t>
    </r>
    <r>
      <rPr>
        <b/>
        <vertAlign val="superscript"/>
        <sz val="12"/>
        <color rgb="FFFF0000"/>
        <rFont val="Calibri"/>
        <family val="2"/>
        <scheme val="minor"/>
      </rPr>
      <t>(2)</t>
    </r>
  </si>
  <si>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10"/>
        <color theme="1"/>
        <rFont val="Calibri"/>
        <family val="2"/>
        <scheme val="minor"/>
      </rPr>
      <t xml:space="preserve"> Cosa si intende per "Doppia Conformità":</t>
    </r>
  </si>
  <si>
    <r>
      <rPr>
        <b/>
        <vertAlign val="superscript"/>
        <sz val="10"/>
        <color theme="1"/>
        <rFont val="Calibri"/>
        <family val="2"/>
        <scheme val="minor"/>
      </rPr>
      <t>(2)</t>
    </r>
    <r>
      <rPr>
        <b/>
        <sz val="10"/>
        <color theme="1"/>
        <rFont val="Calibri"/>
        <family val="2"/>
        <scheme val="minor"/>
      </rPr>
      <t xml:space="preserve"> Cosa si intende per "Esonero del CdC ex art. 32 L.R. 15/2013":</t>
    </r>
  </si>
  <si>
    <t>dalla corresponsione del Contributo di Costruzione ai sensi dell'art. 32 comma 1 lett b).</t>
  </si>
  <si>
    <t>Se lo stesso intervento viene proposto in Sanatoria, ancorché da parte di soggetto IAP, è dovuta un'oblazione pari al Contributo di Costruzione.</t>
  </si>
  <si>
    <t>L'oblazione, nel caso in cui l'intervento sia conforme solo alla disciplina urbanistica ed edilizia al momento della presentazione della domanda di</t>
  </si>
  <si>
    <t>Permesso di Costruire in Sanatoria (cioè non abbia la doppia conformità), viene incrementata del 20%.</t>
  </si>
  <si>
    <r>
      <t xml:space="preserve">L'oblazione è pari al </t>
    </r>
    <r>
      <rPr>
        <b/>
        <sz val="10"/>
        <color theme="1"/>
        <rFont val="Calibri"/>
        <family val="2"/>
        <scheme val="minor"/>
      </rPr>
      <t>doppio del Contributo di Costruzione</t>
    </r>
    <r>
      <rPr>
        <sz val="10"/>
        <color theme="1"/>
        <rFont val="Calibri"/>
        <family val="2"/>
        <scheme val="minor"/>
      </rPr>
      <t xml:space="preserve"> (U1-U2-QCC-D-S ed eventuale CS) </t>
    </r>
    <r>
      <rPr>
        <b/>
        <sz val="10"/>
        <color theme="1"/>
        <rFont val="Calibri"/>
        <family val="2"/>
        <scheme val="minor"/>
      </rPr>
      <t>dovuto in via ordinaria</t>
    </r>
  </si>
  <si>
    <t xml:space="preserve">Ad esempio, l'imprenditore agricolo IAP, per la realizzazione di un manufatto funzionale alla conduzione del fondo, in via ordinaria sarebbe esonerato </t>
  </si>
  <si>
    <t>OBLAZIONE = CdC x 2 + maggiorazione 20%</t>
  </si>
  <si>
    <t>OBLAZIONE = CdC x 1 + maggiorazione 20%</t>
  </si>
  <si>
    <t>D.L. 69/2024 "Decreto Salva Casa"</t>
  </si>
  <si>
    <t>SANATORIA CON DOPPIA CONFORMITA'</t>
  </si>
  <si>
    <t>SANATORIA GIURISPRUDENZIALE</t>
  </si>
  <si>
    <t>ESONERO DEL CDC IN VIA ORDINARIA</t>
  </si>
  <si>
    <t>Entro 9 mesi dal rilascio del PdC</t>
  </si>
  <si>
    <t>Entro 18 mesi dal rilascio del PdC</t>
  </si>
  <si>
    <t>Piano di rateizzazione (ammessa solo per importi &gt; 5.000 €)</t>
  </si>
  <si>
    <t>oppure secondo il piano di rateizzazione</t>
  </si>
  <si>
    <t>Si richiede la rateizzazione</t>
  </si>
  <si>
    <t>MONETIZZAZIONE PARCHEGGI PUBBLICI (MSP) E PARCHEGGI PRIVATI (MPP)</t>
  </si>
  <si>
    <t>Totale complessivo degli importi dovuti (Oblazione + Monetizzazioni + CP)</t>
  </si>
  <si>
    <t>inserire importo</t>
  </si>
  <si>
    <t>MONETIZZAZIONE PARCHEGGI PUBBLICI</t>
  </si>
  <si>
    <t>CdC</t>
  </si>
  <si>
    <t>MSP1</t>
  </si>
  <si>
    <t>MSP2</t>
  </si>
  <si>
    <t>Codice catastale</t>
  </si>
  <si>
    <t>Onere</t>
  </si>
  <si>
    <t>Importo</t>
  </si>
  <si>
    <t>Formula</t>
  </si>
  <si>
    <t>G337</t>
  </si>
  <si>
    <t>Monetizzazione</t>
  </si>
  <si>
    <t>Contributo Città Pubblica</t>
  </si>
  <si>
    <t>Situazione iniziale</t>
  </si>
  <si>
    <t>Situazione attuale</t>
  </si>
  <si>
    <t>Variante</t>
  </si>
  <si>
    <t>Formule</t>
  </si>
  <si>
    <t>Copiare in questa colonna la colonna situazione atuale della pratica "padre"</t>
  </si>
  <si>
    <t>Oblazione</t>
  </si>
  <si>
    <t>C-PORTAL</t>
  </si>
  <si>
    <t>Da allegare al titolo edilizio in questo formato (.XLSX)</t>
  </si>
  <si>
    <t>Urbanizzazione Primaria</t>
  </si>
  <si>
    <t>Urbanizzazione Secondaria</t>
  </si>
  <si>
    <t>Costo di Costruzione o QCC</t>
  </si>
  <si>
    <t>Allegato 1Cs PdC Oblazione D.L. 69/2024 aggiornamento 11/02/2025</t>
  </si>
  <si>
    <t>ALLEGATO 1Cs PROSPETTO DI CALCOLO OBLAZIONE PDC IN SANATORIA D.L. 69/2024 "Decreto Salva Casa"  agg. 11/02/2025</t>
  </si>
  <si>
    <t>ALLEGATO 1Cs PROSPETTO DI CALCOLO OBLAZIONE PDC IN SANATORIA D.L. 69/2024 "Decreto Salva Casa" agg. 11/02/2025</t>
  </si>
  <si>
    <r>
      <t xml:space="preserve">ALLEGATO 1Cs </t>
    </r>
    <r>
      <rPr>
        <b/>
        <sz val="11"/>
        <color rgb="FFFF0000"/>
        <rFont val="Calibri"/>
        <family val="2"/>
        <scheme val="minor"/>
      </rPr>
      <t>PROSPETTO DI CALCOLO OBLAZIONE PDC IN SANATORIA</t>
    </r>
    <r>
      <rPr>
        <b/>
        <sz val="11"/>
        <rFont val="Calibri"/>
        <family val="2"/>
        <scheme val="minor"/>
      </rPr>
      <t xml:space="preserve"> D.L. 69/2024 </t>
    </r>
    <r>
      <rPr>
        <b/>
        <sz val="11"/>
        <color rgb="FFFF0000"/>
        <rFont val="Calibri"/>
        <family val="2"/>
        <scheme val="minor"/>
      </rPr>
      <t>"Decreto Salva Casa"</t>
    </r>
    <r>
      <rPr>
        <b/>
        <sz val="11"/>
        <rFont val="Calibri"/>
        <family val="2"/>
        <scheme val="minor"/>
      </rPr>
      <t xml:space="preserve">  agg. 11/02/2025</t>
    </r>
  </si>
  <si>
    <r>
      <t xml:space="preserve">ALLEGATO 1Cs </t>
    </r>
    <r>
      <rPr>
        <b/>
        <sz val="11"/>
        <color rgb="FFFF0000"/>
        <rFont val="Calibri"/>
        <family val="2"/>
        <scheme val="minor"/>
      </rPr>
      <t>PROSPETTO DI CALCOLO OBLAZIONE PDC IN SANATORIA</t>
    </r>
    <r>
      <rPr>
        <b/>
        <sz val="11"/>
        <color theme="1"/>
        <rFont val="Calibri"/>
        <family val="2"/>
        <scheme val="minor"/>
      </rPr>
      <t xml:space="preserve"> D.L. 69/2024 </t>
    </r>
    <r>
      <rPr>
        <b/>
        <sz val="11"/>
        <color rgb="FFFF0000"/>
        <rFont val="Calibri"/>
        <family val="2"/>
        <scheme val="minor"/>
      </rPr>
      <t>"Decreto Salva Casa"</t>
    </r>
    <r>
      <rPr>
        <b/>
        <sz val="11"/>
        <color theme="1"/>
        <rFont val="Calibri"/>
        <family val="2"/>
        <scheme val="minor"/>
      </rPr>
      <t xml:space="preserve"> agg. 11/02/2025</t>
    </r>
  </si>
  <si>
    <r>
      <t xml:space="preserve">* In caso di </t>
    </r>
    <r>
      <rPr>
        <b/>
        <u/>
        <sz val="12"/>
        <color rgb="FFFF0000"/>
        <rFont val="Calibri"/>
        <family val="2"/>
        <scheme val="minor"/>
      </rPr>
      <t>cambio d'uso con opere in aumento di carico urbanistico</t>
    </r>
  </si>
  <si>
    <t>Quindi si assume la maggiore tra QCC calcolata con opere e senza opere.</t>
  </si>
  <si>
    <r>
      <t xml:space="preserve">NOTE IMPORTANTI PER IL CALCOLO </t>
    </r>
    <r>
      <rPr>
        <b/>
        <sz val="11"/>
        <color rgb="FFFF0000"/>
        <rFont val="Calibri"/>
        <family val="2"/>
        <scheme val="minor"/>
      </rPr>
      <t>(leggere attentamente prima di procedere)</t>
    </r>
    <r>
      <rPr>
        <b/>
        <sz val="11"/>
        <color theme="1"/>
        <rFont val="Calibri"/>
        <family val="2"/>
        <scheme val="minor"/>
      </rPr>
      <t>.</t>
    </r>
  </si>
  <si>
    <t>Il Contributo di Costruzione NON è il Costo di Costruzione; il Contributo di Costruzione è dato dalla somma di U1 - U2 - QCC - D - S - CS</t>
  </si>
  <si>
    <t>Quindi il Costo di Costruzione (o QCC) è una parte del Contrinuto di Costruzione</t>
  </si>
  <si>
    <t>Il prospetto di calcolo deve essere allegato al titolo edilizio in formato excel (.XLSX) nell'ultima versione C-Portal disponibile sul sito del Comune di Parma</t>
  </si>
  <si>
    <t>Tra tutti gli allegati obbligatori, il prospetto di calcolo in excel, il Modulo CdC e le tavole dimostrative delle superfici (SU-SA-SL) utilizzate per il calcolo, sono gli elementi essenziali</t>
  </si>
  <si>
    <t>e devono essere redatti e aggiornati ad ogni variazione di superfici/parametri con integrazione volontaria, poiché il calcolo oneri dipende dal progetto defintivo e conforme</t>
  </si>
  <si>
    <t>Le tavole dimostrative delle superfici (All. 1D - 1E - 1F), che possono essere redatte anche in un unico elaborato, devono essere molto chiare ed esaustive,</t>
  </si>
  <si>
    <t xml:space="preserve">le superfici ricavate dalla somma di vari locali (che devono essere riportate in tabella integrata sull'elaborato grafico), devono essere chiaramente indicate ed evidenziate </t>
  </si>
  <si>
    <t>sulla tavola stessa e trovare corrispondenza con le superfici riportate nel prospetto di calcolo.</t>
  </si>
  <si>
    <t>Campiture differenziate dovranno essere utilizzate per la SU, SA e SL, in ogni locale dovrà essere riportata la superficie, l'uso e la relativa colorazione con opportuna legenda.</t>
  </si>
  <si>
    <t>L’autocalcolo dei contributi, corredato dei relativi allegati obbligatori a supporto e degli eventuali versamenti a conguaglio, dovrà essere aggiornato tramite integrazione volontaria</t>
  </si>
  <si>
    <t xml:space="preserve">ad ogni modifica progettuale o integrazione, anche se richiesta da altri servizi/uffici, che comportino una modifica dei parametri di calcolo quali ad esempio: </t>
  </si>
  <si>
    <t xml:space="preserve">SLU, SL, SU, SA o SNR, numero e consistenza delle unità immobiliari, computo metrico o QTE, destinazione d’uso, localizzazione ecc.. </t>
  </si>
  <si>
    <t xml:space="preserve">Qualora le modifiche progettuali o integrazioni richieste da altri servizi/uffici non comportino alcuna modifica ai parametri di calcolo dei contributi, </t>
  </si>
  <si>
    <t>Attenzione: nella SA occorre considerare anche le superfici che non rientrano nelle limitazioni da RUE, quali ad esempio: logge, balconi, corridoi accessori, portici, autorimesse, piscine ecc..</t>
  </si>
  <si>
    <t>sarà comunque necessario produrre una dichiarazione in merito, nella quale specificare l’autocalcolo da tenere in considerazione.</t>
  </si>
  <si>
    <t>L'autocalcolo dei contributi, gli allegati obbligatori e gli eventuali versamenti a conguaglio dovranno sempre risultare conformi all'ultima versione progettuale.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</si>
</sst>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"/>
    <numFmt numFmtId="166" formatCode="#,##0.00_ ;\-#,##0.00\ "/>
    <numFmt numFmtId="167" formatCode="[$€-2]\ #,##0;[Red]\-[$€-2]\ #,##0"/>
    <numFmt numFmtId="168" formatCode="#,##0_ ;\-#,##0\ "/>
    <numFmt numFmtId="169" formatCode="&quot;€&quot;\ #,##0.00"/>
    <numFmt numFmtId="170" formatCode="_-[$€-410]\ * #,##0.00_-;\-[$€-410]\ * #,##0.00_-;_-[$€-410]\ * &quot;-&quot;??_-;_-@_-"/>
    <numFmt numFmtId="171" formatCode="0.0000"/>
    <numFmt numFmtId="172" formatCode="#,##0.00\ &quot;€&quot;"/>
    <numFmt numFmtId="173" formatCode="#,##0.0000_ ;\-#,##0.0000\ "/>
  </numFmts>
  <fonts count="1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i/>
      <sz val="9"/>
      <color rgb="FFFF0000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  <scheme val="minor"/>
    </font>
    <font>
      <u/>
      <sz val="10"/>
      <name val="Calibri"/>
      <family val="2"/>
    </font>
    <font>
      <i/>
      <sz val="9"/>
      <name val="Calibri"/>
      <family val="2"/>
    </font>
    <font>
      <sz val="10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theme="0" tint="-0.1499984740745262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sz val="9"/>
      <color theme="0" tint="-0.249977111117893"/>
      <name val="Calibri"/>
      <family val="2"/>
    </font>
    <font>
      <b/>
      <i/>
      <sz val="9"/>
      <color theme="0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theme="3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color theme="1" tint="0.34998626667073579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9.5"/>
      <name val="Calibri"/>
      <family val="2"/>
      <scheme val="minor"/>
    </font>
    <font>
      <sz val="9.5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0" tint="-0.1499984740745262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9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0" tint="-0.249977111117893"/>
      <name val="Calibri"/>
      <family val="2"/>
      <scheme val="minor"/>
    </font>
    <font>
      <b/>
      <i/>
      <sz val="9"/>
      <color theme="0" tint="-0.14999847407452621"/>
      <name val="Calibri"/>
      <family val="2"/>
      <scheme val="minor"/>
    </font>
    <font>
      <b/>
      <i/>
      <sz val="9"/>
      <color theme="0" tint="-0.14999847407452621"/>
      <name val="Calibri"/>
      <family val="2"/>
    </font>
    <font>
      <i/>
      <sz val="9"/>
      <name val="Calibri"/>
      <family val="2"/>
      <scheme val="minor"/>
    </font>
    <font>
      <u/>
      <sz val="9"/>
      <color theme="10"/>
      <name val="Arial"/>
      <family val="2"/>
    </font>
    <font>
      <b/>
      <sz val="26"/>
      <color rgb="FFFF0000"/>
      <name val="Calibri"/>
      <family val="2"/>
      <scheme val="minor"/>
    </font>
    <font>
      <i/>
      <sz val="9"/>
      <color theme="0" tint="-0.14999847407452621"/>
      <name val="Calibri"/>
      <family val="2"/>
      <scheme val="minor"/>
    </font>
    <font>
      <sz val="9"/>
      <color theme="0" tint="-0.249977111117893"/>
      <name val="Arial"/>
      <family val="2"/>
    </font>
    <font>
      <sz val="8"/>
      <color theme="0" tint="-0.1499984740745262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Wingdings"/>
      <charset val="2"/>
    </font>
    <font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 (Corpo)_x0000_"/>
    </font>
    <font>
      <b/>
      <i/>
      <u/>
      <sz val="11"/>
      <name val="Calibri (Corpo)_x0000_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 (Corpo)_x0000_"/>
    </font>
    <font>
      <sz val="10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i/>
      <sz val="8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Wingdings"/>
      <charset val="2"/>
    </font>
    <font>
      <b/>
      <u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8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FF0000"/>
      <name val="Calibri (Corpo)_x0000_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</font>
    <font>
      <i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sz val="11"/>
      <color theme="1"/>
      <name val="Aptos Narrow"/>
      <family val="2"/>
    </font>
    <font>
      <sz val="14"/>
      <color rgb="FFFF0000"/>
      <name val="Calibri"/>
      <family val="2"/>
      <scheme val="minor"/>
    </font>
    <font>
      <b/>
      <i/>
      <sz val="8"/>
      <color rgb="FF0070C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7" fillId="0" borderId="0"/>
  </cellStyleXfs>
  <cellXfs count="898">
    <xf numFmtId="0" fontId="0" fillId="0" borderId="0" xfId="0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3" fillId="0" borderId="22" xfId="0" applyFont="1" applyBorder="1" applyAlignment="1">
      <alignment horizontal="center"/>
    </xf>
    <xf numFmtId="0" fontId="19" fillId="0" borderId="0" xfId="0" applyFont="1"/>
    <xf numFmtId="0" fontId="13" fillId="0" borderId="23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20" fillId="0" borderId="0" xfId="0" applyFont="1"/>
    <xf numFmtId="1" fontId="21" fillId="2" borderId="10" xfId="0" applyNumberFormat="1" applyFont="1" applyFill="1" applyBorder="1" applyAlignment="1" applyProtection="1">
      <alignment horizontal="center"/>
      <protection locked="0"/>
    </xf>
    <xf numFmtId="4" fontId="21" fillId="2" borderId="10" xfId="0" applyNumberFormat="1" applyFont="1" applyFill="1" applyBorder="1" applyAlignment="1" applyProtection="1">
      <alignment horizontal="center"/>
      <protection locked="0"/>
    </xf>
    <xf numFmtId="4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13" fillId="0" borderId="10" xfId="0" applyNumberFormat="1" applyFont="1" applyBorder="1"/>
    <xf numFmtId="165" fontId="13" fillId="0" borderId="22" xfId="0" applyNumberFormat="1" applyFont="1" applyBorder="1"/>
    <xf numFmtId="0" fontId="13" fillId="0" borderId="12" xfId="0" applyFont="1" applyBorder="1" applyAlignment="1">
      <alignment horizontal="right"/>
    </xf>
    <xf numFmtId="4" fontId="13" fillId="0" borderId="0" xfId="0" applyNumberFormat="1" applyFont="1" applyAlignment="1">
      <alignment horizontal="center"/>
    </xf>
    <xf numFmtId="165" fontId="13" fillId="0" borderId="24" xfId="0" applyNumberFormat="1" applyFont="1" applyBorder="1" applyAlignment="1">
      <alignment horizontal="right"/>
    </xf>
    <xf numFmtId="165" fontId="18" fillId="0" borderId="1" xfId="0" applyNumberFormat="1" applyFont="1" applyBorder="1"/>
    <xf numFmtId="0" fontId="13" fillId="0" borderId="10" xfId="0" applyFont="1" applyBorder="1"/>
    <xf numFmtId="4" fontId="18" fillId="0" borderId="10" xfId="0" applyNumberFormat="1" applyFont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7" fillId="0" borderId="10" xfId="0" applyFont="1" applyBorder="1"/>
    <xf numFmtId="4" fontId="17" fillId="0" borderId="10" xfId="0" applyNumberFormat="1" applyFont="1" applyBorder="1" applyAlignment="1">
      <alignment horizontal="center"/>
    </xf>
    <xf numFmtId="0" fontId="13" fillId="0" borderId="12" xfId="0" applyFont="1" applyBorder="1"/>
    <xf numFmtId="0" fontId="13" fillId="0" borderId="13" xfId="0" applyFont="1" applyBorder="1"/>
    <xf numFmtId="0" fontId="13" fillId="0" borderId="15" xfId="0" applyFont="1" applyBorder="1"/>
    <xf numFmtId="0" fontId="13" fillId="0" borderId="24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right" vertical="center" wrapText="1"/>
    </xf>
    <xf numFmtId="0" fontId="13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27" fillId="2" borderId="10" xfId="0" applyFont="1" applyFill="1" applyBorder="1" applyAlignment="1" applyProtection="1">
      <alignment horizontal="right" vertical="center"/>
      <protection locked="0"/>
    </xf>
    <xf numFmtId="0" fontId="9" fillId="0" borderId="2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6" fontId="21" fillId="2" borderId="10" xfId="1" applyNumberFormat="1" applyFont="1" applyFill="1" applyBorder="1" applyAlignment="1" applyProtection="1">
      <alignment horizontal="center" vertical="center"/>
      <protection locked="0"/>
    </xf>
    <xf numFmtId="164" fontId="24" fillId="0" borderId="0" xfId="1" applyFont="1" applyFill="1" applyAlignment="1">
      <alignment vertical="center"/>
    </xf>
    <xf numFmtId="0" fontId="11" fillId="0" borderId="17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166" fontId="18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/>
    </xf>
    <xf numFmtId="0" fontId="27" fillId="2" borderId="25" xfId="0" applyFont="1" applyFill="1" applyBorder="1" applyAlignment="1" applyProtection="1">
      <alignment horizontal="right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4" fontId="17" fillId="0" borderId="0" xfId="0" applyNumberFormat="1" applyFont="1" applyAlignment="1">
      <alignment horizontal="center"/>
    </xf>
    <xf numFmtId="0" fontId="27" fillId="2" borderId="10" xfId="0" applyFont="1" applyFill="1" applyBorder="1" applyAlignment="1" applyProtection="1">
      <alignment horizontal="right" vertical="center" wrapText="1"/>
      <protection locked="0"/>
    </xf>
    <xf numFmtId="0" fontId="24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9" fillId="0" borderId="24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9" fillId="0" borderId="0" xfId="0" applyFont="1" applyAlignment="1">
      <alignment horizontal="left" vertical="center" indent="2"/>
    </xf>
    <xf numFmtId="0" fontId="17" fillId="0" borderId="2" xfId="0" applyFont="1" applyBorder="1"/>
    <xf numFmtId="0" fontId="13" fillId="0" borderId="3" xfId="0" applyFont="1" applyBorder="1"/>
    <xf numFmtId="0" fontId="31" fillId="0" borderId="3" xfId="0" applyFont="1" applyBorder="1"/>
    <xf numFmtId="0" fontId="31" fillId="0" borderId="4" xfId="0" applyFont="1" applyBorder="1"/>
    <xf numFmtId="0" fontId="28" fillId="0" borderId="8" xfId="0" applyFont="1" applyBorder="1" applyAlignment="1">
      <alignment horizontal="left" vertical="center" indent="2"/>
    </xf>
    <xf numFmtId="0" fontId="31" fillId="0" borderId="0" xfId="0" applyFont="1"/>
    <xf numFmtId="0" fontId="31" fillId="0" borderId="9" xfId="0" applyFont="1" applyBorder="1"/>
    <xf numFmtId="0" fontId="13" fillId="0" borderId="8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2" fontId="17" fillId="0" borderId="9" xfId="0" applyNumberFormat="1" applyFont="1" applyBorder="1" applyAlignment="1">
      <alignment horizontal="left" vertical="center"/>
    </xf>
    <xf numFmtId="0" fontId="13" fillId="0" borderId="8" xfId="0" applyFont="1" applyBorder="1"/>
    <xf numFmtId="0" fontId="13" fillId="0" borderId="9" xfId="0" applyFont="1" applyBorder="1"/>
    <xf numFmtId="164" fontId="13" fillId="0" borderId="0" xfId="0" applyNumberFormat="1" applyFont="1"/>
    <xf numFmtId="0" fontId="29" fillId="0" borderId="8" xfId="0" applyFont="1" applyBorder="1" applyAlignment="1">
      <alignment horizontal="left" vertical="center" indent="2"/>
    </xf>
    <xf numFmtId="0" fontId="13" fillId="0" borderId="9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35" fillId="2" borderId="10" xfId="0" applyFont="1" applyFill="1" applyBorder="1" applyAlignment="1" applyProtection="1">
      <alignment horizontal="center" vertical="center"/>
      <protection locked="0"/>
    </xf>
    <xf numFmtId="2" fontId="36" fillId="0" borderId="0" xfId="0" applyNumberFormat="1" applyFont="1" applyAlignment="1">
      <alignment horizontal="right" vertical="center"/>
    </xf>
    <xf numFmtId="0" fontId="36" fillId="0" borderId="9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3" borderId="31" xfId="0" applyFont="1" applyFill="1" applyBorder="1"/>
    <xf numFmtId="4" fontId="17" fillId="3" borderId="32" xfId="0" applyNumberFormat="1" applyFont="1" applyFill="1" applyBorder="1" applyAlignment="1">
      <alignment horizontal="right" vertical="center"/>
    </xf>
    <xf numFmtId="4" fontId="17" fillId="3" borderId="32" xfId="0" applyNumberFormat="1" applyFont="1" applyFill="1" applyBorder="1" applyAlignment="1">
      <alignment horizontal="left" vertical="center"/>
    </xf>
    <xf numFmtId="0" fontId="31" fillId="3" borderId="32" xfId="0" applyFont="1" applyFill="1" applyBorder="1"/>
    <xf numFmtId="0" fontId="39" fillId="3" borderId="32" xfId="0" applyFont="1" applyFill="1" applyBorder="1" applyAlignment="1">
      <alignment horizontal="right"/>
    </xf>
    <xf numFmtId="2" fontId="40" fillId="3" borderId="26" xfId="0" applyNumberFormat="1" applyFont="1" applyFill="1" applyBorder="1" applyAlignment="1">
      <alignment horizontal="left"/>
    </xf>
    <xf numFmtId="164" fontId="13" fillId="0" borderId="0" xfId="1" applyFont="1" applyFill="1" applyBorder="1" applyProtection="1"/>
    <xf numFmtId="0" fontId="41" fillId="0" borderId="0" xfId="0" applyFont="1"/>
    <xf numFmtId="4" fontId="42" fillId="0" borderId="0" xfId="0" applyNumberFormat="1" applyFont="1" applyAlignment="1">
      <alignment horizontal="right" vertical="center"/>
    </xf>
    <xf numFmtId="164" fontId="42" fillId="0" borderId="0" xfId="1" applyFont="1" applyFill="1" applyBorder="1" applyAlignment="1" applyProtection="1">
      <alignment horizontal="right" vertical="center"/>
    </xf>
    <xf numFmtId="4" fontId="42" fillId="0" borderId="0" xfId="0" applyNumberFormat="1" applyFont="1" applyAlignment="1">
      <alignment horizontal="left" vertical="center"/>
    </xf>
    <xf numFmtId="0" fontId="44" fillId="0" borderId="0" xfId="0" applyFont="1" applyAlignment="1">
      <alignment horizontal="right"/>
    </xf>
    <xf numFmtId="2" fontId="44" fillId="0" borderId="0" xfId="0" applyNumberFormat="1" applyFont="1" applyAlignment="1">
      <alignment horizontal="left"/>
    </xf>
    <xf numFmtId="164" fontId="41" fillId="0" borderId="0" xfId="1" applyFont="1" applyFill="1" applyBorder="1" applyProtection="1"/>
    <xf numFmtId="0" fontId="46" fillId="0" borderId="0" xfId="0" applyFont="1"/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1" fontId="21" fillId="2" borderId="10" xfId="0" applyNumberFormat="1" applyFont="1" applyFill="1" applyBorder="1" applyAlignment="1" applyProtection="1">
      <alignment horizontal="center" vertical="center"/>
      <protection locked="0"/>
    </xf>
    <xf numFmtId="0" fontId="50" fillId="0" borderId="0" xfId="0" applyFont="1"/>
    <xf numFmtId="0" fontId="45" fillId="0" borderId="24" xfId="0" applyFont="1" applyBorder="1" applyAlignment="1">
      <alignment vertical="center"/>
    </xf>
    <xf numFmtId="0" fontId="45" fillId="0" borderId="28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53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4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55" fillId="0" borderId="0" xfId="0" applyFont="1"/>
    <xf numFmtId="164" fontId="19" fillId="0" borderId="0" xfId="1" applyFont="1" applyFill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13" fillId="0" borderId="4" xfId="0" applyFont="1" applyBorder="1"/>
    <xf numFmtId="2" fontId="17" fillId="0" borderId="9" xfId="0" applyNumberFormat="1" applyFont="1" applyBorder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0" fontId="54" fillId="0" borderId="14" xfId="0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0" fontId="60" fillId="0" borderId="0" xfId="0" applyFont="1"/>
    <xf numFmtId="0" fontId="9" fillId="0" borderId="16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7" fillId="0" borderId="24" xfId="0" applyFont="1" applyBorder="1" applyAlignment="1">
      <alignment horizontal="right" vertical="center"/>
    </xf>
    <xf numFmtId="0" fontId="17" fillId="0" borderId="27" xfId="0" applyFont="1" applyBorder="1" applyAlignment="1">
      <alignment horizontal="left" vertical="center"/>
    </xf>
    <xf numFmtId="2" fontId="36" fillId="0" borderId="0" xfId="0" applyNumberFormat="1" applyFont="1" applyAlignment="1">
      <alignment horizontal="right"/>
    </xf>
    <xf numFmtId="0" fontId="36" fillId="0" borderId="9" xfId="0" applyFont="1" applyBorder="1" applyAlignment="1">
      <alignment horizontal="right"/>
    </xf>
    <xf numFmtId="0" fontId="29" fillId="0" borderId="5" xfId="0" applyFont="1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wrapText="1" indent="2"/>
    </xf>
    <xf numFmtId="0" fontId="28" fillId="0" borderId="7" xfId="0" applyFont="1" applyBorder="1" applyAlignment="1">
      <alignment horizontal="left" vertical="center"/>
    </xf>
    <xf numFmtId="4" fontId="17" fillId="3" borderId="32" xfId="0" applyNumberFormat="1" applyFont="1" applyFill="1" applyBorder="1" applyAlignment="1">
      <alignment horizontal="center" vertical="center"/>
    </xf>
    <xf numFmtId="0" fontId="13" fillId="3" borderId="32" xfId="0" applyFont="1" applyFill="1" applyBorder="1"/>
    <xf numFmtId="0" fontId="13" fillId="3" borderId="26" xfId="0" applyFont="1" applyFill="1" applyBorder="1"/>
    <xf numFmtId="164" fontId="38" fillId="0" borderId="0" xfId="1" applyFont="1" applyFill="1" applyBorder="1" applyAlignment="1" applyProtection="1">
      <alignment horizontal="center" vertical="center"/>
    </xf>
    <xf numFmtId="0" fontId="61" fillId="0" borderId="0" xfId="0" applyFont="1"/>
    <xf numFmtId="0" fontId="62" fillId="0" borderId="0" xfId="0" applyFont="1"/>
    <xf numFmtId="4" fontId="63" fillId="0" borderId="0" xfId="0" applyNumberFormat="1" applyFont="1" applyAlignment="1">
      <alignment horizontal="center" vertical="center"/>
    </xf>
    <xf numFmtId="4" fontId="63" fillId="0" borderId="0" xfId="0" applyNumberFormat="1" applyFont="1" applyAlignment="1">
      <alignment horizontal="right" vertical="center"/>
    </xf>
    <xf numFmtId="0" fontId="64" fillId="0" borderId="0" xfId="0" applyFont="1" applyAlignment="1">
      <alignment horizontal="right"/>
    </xf>
    <xf numFmtId="2" fontId="64" fillId="0" borderId="0" xfId="0" applyNumberFormat="1" applyFont="1" applyAlignment="1">
      <alignment horizontal="center"/>
    </xf>
    <xf numFmtId="0" fontId="65" fillId="0" borderId="0" xfId="0" applyFont="1"/>
    <xf numFmtId="0" fontId="63" fillId="0" borderId="0" xfId="0" applyFont="1"/>
    <xf numFmtId="0" fontId="66" fillId="0" borderId="10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5" fillId="2" borderId="10" xfId="0" applyFont="1" applyFill="1" applyBorder="1" applyAlignment="1" applyProtection="1">
      <alignment horizontal="right" vertical="center"/>
      <protection locked="0"/>
    </xf>
    <xf numFmtId="0" fontId="54" fillId="0" borderId="2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67" fillId="0" borderId="0" xfId="0" applyFont="1"/>
    <xf numFmtId="164" fontId="13" fillId="0" borderId="0" xfId="1" applyFont="1" applyFill="1" applyAlignment="1">
      <alignment vertical="center"/>
    </xf>
    <xf numFmtId="0" fontId="10" fillId="0" borderId="17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5" fillId="2" borderId="10" xfId="0" applyFont="1" applyFill="1" applyBorder="1" applyAlignment="1" applyProtection="1">
      <alignment horizontal="right" vertical="center" wrapText="1"/>
      <protection locked="0"/>
    </xf>
    <xf numFmtId="0" fontId="54" fillId="0" borderId="16" xfId="0" applyFont="1" applyBorder="1" applyAlignment="1">
      <alignment horizontal="right" vertical="center"/>
    </xf>
    <xf numFmtId="166" fontId="18" fillId="0" borderId="10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4" fontId="35" fillId="2" borderId="30" xfId="0" applyNumberFormat="1" applyFont="1" applyFill="1" applyBorder="1" applyAlignment="1" applyProtection="1">
      <alignment horizontal="center" vertical="center"/>
      <protection locked="0"/>
    </xf>
    <xf numFmtId="0" fontId="29" fillId="0" borderId="8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69" fillId="0" borderId="6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41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71" fillId="0" borderId="0" xfId="0" applyFont="1" applyAlignment="1">
      <alignment wrapText="1"/>
    </xf>
    <xf numFmtId="0" fontId="45" fillId="0" borderId="24" xfId="0" applyFont="1" applyBorder="1" applyAlignment="1">
      <alignment horizontal="left"/>
    </xf>
    <xf numFmtId="0" fontId="20" fillId="0" borderId="28" xfId="0" applyFont="1" applyBorder="1" applyAlignment="1">
      <alignment horizontal="right"/>
    </xf>
    <xf numFmtId="0" fontId="73" fillId="0" borderId="0" xfId="0" applyFont="1" applyAlignment="1">
      <alignment horizontal="center" vertical="center"/>
    </xf>
    <xf numFmtId="0" fontId="3" fillId="0" borderId="0" xfId="0" applyFont="1"/>
    <xf numFmtId="0" fontId="3" fillId="0" borderId="9" xfId="0" applyFont="1" applyBorder="1"/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74" fillId="0" borderId="9" xfId="0" applyFont="1" applyBorder="1" applyAlignment="1">
      <alignment horizontal="center" vertical="center"/>
    </xf>
    <xf numFmtId="0" fontId="60" fillId="0" borderId="9" xfId="0" applyFont="1" applyBorder="1"/>
    <xf numFmtId="0" fontId="13" fillId="0" borderId="28" xfId="0" applyFont="1" applyBorder="1"/>
    <xf numFmtId="0" fontId="18" fillId="0" borderId="28" xfId="0" applyFont="1" applyBorder="1" applyAlignment="1">
      <alignment horizontal="right" vertical="center"/>
    </xf>
    <xf numFmtId="0" fontId="26" fillId="0" borderId="6" xfId="0" applyFont="1" applyBorder="1" applyAlignment="1">
      <alignment horizontal="left" vertical="center" wrapText="1" indent="2"/>
    </xf>
    <xf numFmtId="0" fontId="74" fillId="0" borderId="6" xfId="0" applyFont="1" applyBorder="1" applyAlignment="1">
      <alignment horizontal="center" vertical="center"/>
    </xf>
    <xf numFmtId="0" fontId="74" fillId="0" borderId="7" xfId="0" applyFont="1" applyBorder="1" applyAlignment="1">
      <alignment horizontal="center" vertical="center"/>
    </xf>
    <xf numFmtId="0" fontId="24" fillId="3" borderId="5" xfId="0" applyFont="1" applyFill="1" applyBorder="1" applyAlignment="1">
      <alignment horizontal="left" vertical="center" wrapText="1" indent="2"/>
    </xf>
    <xf numFmtId="0" fontId="17" fillId="3" borderId="6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 wrapText="1" indent="2"/>
    </xf>
    <xf numFmtId="0" fontId="24" fillId="3" borderId="6" xfId="0" applyFont="1" applyFill="1" applyBorder="1"/>
    <xf numFmtId="0" fontId="17" fillId="3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 indent="2"/>
    </xf>
    <xf numFmtId="0" fontId="24" fillId="0" borderId="0" xfId="0" applyFont="1"/>
    <xf numFmtId="0" fontId="17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4" fontId="42" fillId="0" borderId="0" xfId="0" applyNumberFormat="1" applyFont="1" applyAlignment="1">
      <alignment horizontal="center" vertical="center"/>
    </xf>
    <xf numFmtId="164" fontId="38" fillId="3" borderId="32" xfId="1" applyFont="1" applyFill="1" applyBorder="1" applyAlignment="1">
      <alignment horizontal="right" vertical="center"/>
    </xf>
    <xf numFmtId="2" fontId="3" fillId="2" borderId="0" xfId="0" applyNumberFormat="1" applyFont="1" applyFill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 vertical="center"/>
    </xf>
    <xf numFmtId="0" fontId="13" fillId="0" borderId="14" xfId="0" applyFont="1" applyBorder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24" fillId="0" borderId="15" xfId="0" applyFont="1" applyBorder="1" applyAlignment="1">
      <alignment horizontal="center" vertical="center"/>
    </xf>
    <xf numFmtId="164" fontId="24" fillId="0" borderId="0" xfId="1" applyFont="1" applyFill="1" applyBorder="1" applyAlignment="1" applyProtection="1">
      <alignment vertical="center"/>
    </xf>
    <xf numFmtId="0" fontId="17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13" fillId="0" borderId="0" xfId="1" applyFont="1" applyFill="1" applyBorder="1" applyAlignment="1" applyProtection="1">
      <alignment vertical="center"/>
    </xf>
    <xf numFmtId="0" fontId="5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4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 applyAlignment="1">
      <alignment horizontal="right" vertical="center"/>
    </xf>
    <xf numFmtId="0" fontId="13" fillId="0" borderId="17" xfId="0" applyFont="1" applyBorder="1"/>
    <xf numFmtId="0" fontId="13" fillId="0" borderId="18" xfId="0" applyFont="1" applyBorder="1"/>
    <xf numFmtId="0" fontId="38" fillId="0" borderId="0" xfId="0" applyFont="1" applyAlignment="1">
      <alignment vertical="center"/>
    </xf>
    <xf numFmtId="164" fontId="38" fillId="0" borderId="0" xfId="1" applyFont="1" applyAlignment="1" applyProtection="1">
      <alignment vertical="center"/>
    </xf>
    <xf numFmtId="0" fontId="35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/>
    </xf>
    <xf numFmtId="164" fontId="38" fillId="3" borderId="32" xfId="1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0" fontId="60" fillId="0" borderId="15" xfId="0" applyFont="1" applyBorder="1" applyAlignment="1">
      <alignment horizontal="right" vertical="center"/>
    </xf>
    <xf numFmtId="0" fontId="60" fillId="0" borderId="17" xfId="0" applyFont="1" applyBorder="1" applyAlignment="1">
      <alignment horizontal="right" vertical="center"/>
    </xf>
    <xf numFmtId="0" fontId="76" fillId="0" borderId="0" xfId="0" applyFont="1" applyAlignment="1">
      <alignment horizontal="right" vertical="center"/>
    </xf>
    <xf numFmtId="0" fontId="60" fillId="0" borderId="0" xfId="0" applyFont="1" applyAlignment="1">
      <alignment horizontal="right" vertical="center"/>
    </xf>
    <xf numFmtId="2" fontId="10" fillId="2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164" fontId="62" fillId="0" borderId="0" xfId="1" applyFont="1" applyAlignment="1" applyProtection="1">
      <alignment horizontal="center" vertical="center"/>
    </xf>
    <xf numFmtId="0" fontId="6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6" fillId="0" borderId="9" xfId="0" applyFont="1" applyBorder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15" xfId="1" applyFont="1" applyBorder="1" applyAlignment="1" applyProtection="1">
      <alignment horizontal="center" vertical="center"/>
    </xf>
    <xf numFmtId="0" fontId="60" fillId="0" borderId="9" xfId="0" applyFont="1" applyBorder="1" applyAlignment="1">
      <alignment horizontal="center" vertical="center"/>
    </xf>
    <xf numFmtId="164" fontId="63" fillId="0" borderId="0" xfId="1" applyFont="1" applyAlignment="1" applyProtection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6" fillId="0" borderId="3" xfId="0" applyFont="1" applyBorder="1" applyAlignment="1">
      <alignment horizontal="right" vertical="center"/>
    </xf>
    <xf numFmtId="0" fontId="65" fillId="0" borderId="3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66" fillId="0" borderId="0" xfId="0" applyFont="1" applyAlignment="1">
      <alignment horizontal="right" vertical="center"/>
    </xf>
    <xf numFmtId="0" fontId="65" fillId="0" borderId="0" xfId="0" applyFont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164" fontId="8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6" fontId="8" fillId="0" borderId="0" xfId="1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1" applyNumberFormat="1" applyFont="1" applyBorder="1" applyAlignment="1" applyProtection="1">
      <alignment horizontal="center" vertical="center"/>
    </xf>
    <xf numFmtId="0" fontId="65" fillId="0" borderId="3" xfId="0" applyFont="1" applyBorder="1" applyAlignment="1">
      <alignment horizontal="right" vertical="center"/>
    </xf>
    <xf numFmtId="0" fontId="65" fillId="0" borderId="0" xfId="0" applyFont="1" applyAlignment="1">
      <alignment horizontal="right" vertical="center"/>
    </xf>
    <xf numFmtId="0" fontId="79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164" fontId="62" fillId="0" borderId="0" xfId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8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2" fillId="0" borderId="0" xfId="0" applyNumberFormat="1" applyFont="1" applyAlignment="1">
      <alignment horizontal="center" vertical="center"/>
    </xf>
    <xf numFmtId="164" fontId="65" fillId="0" borderId="0" xfId="0" applyNumberFormat="1" applyFont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4" fontId="54" fillId="0" borderId="25" xfId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167" fontId="84" fillId="0" borderId="0" xfId="0" applyNumberFormat="1" applyFont="1"/>
    <xf numFmtId="0" fontId="87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87" fillId="0" borderId="0" xfId="0" applyFont="1" applyAlignment="1">
      <alignment horizontal="center" vertical="center" wrapText="1"/>
    </xf>
    <xf numFmtId="0" fontId="88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3" fillId="0" borderId="0" xfId="1" applyFont="1" applyBorder="1" applyAlignment="1" applyProtection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8" fillId="0" borderId="28" xfId="0" applyFont="1" applyBorder="1" applyAlignment="1">
      <alignment horizontal="center" vertical="center" wrapText="1"/>
    </xf>
    <xf numFmtId="168" fontId="62" fillId="0" borderId="0" xfId="1" applyNumberFormat="1" applyFont="1" applyAlignment="1" applyProtection="1">
      <alignment horizontal="center" vertical="center"/>
    </xf>
    <xf numFmtId="0" fontId="94" fillId="0" borderId="0" xfId="0" applyFont="1"/>
    <xf numFmtId="0" fontId="86" fillId="0" borderId="0" xfId="0" applyFont="1"/>
    <xf numFmtId="0" fontId="95" fillId="0" borderId="10" xfId="0" applyFont="1" applyBorder="1" applyAlignment="1">
      <alignment horizontal="center" vertical="center" wrapText="1"/>
    </xf>
    <xf numFmtId="0" fontId="95" fillId="0" borderId="0" xfId="0" applyFont="1" applyAlignment="1">
      <alignment horizontal="center" vertical="center" wrapText="1"/>
    </xf>
    <xf numFmtId="0" fontId="94" fillId="0" borderId="10" xfId="0" applyFont="1" applyBorder="1" applyAlignment="1">
      <alignment horizontal="center" vertical="center" wrapText="1"/>
    </xf>
    <xf numFmtId="0" fontId="94" fillId="0" borderId="10" xfId="0" applyFont="1" applyBorder="1" applyAlignment="1">
      <alignment vertical="center" wrapText="1"/>
    </xf>
    <xf numFmtId="0" fontId="94" fillId="0" borderId="10" xfId="0" applyFont="1" applyBorder="1"/>
    <xf numFmtId="0" fontId="94" fillId="0" borderId="10" xfId="0" applyFont="1" applyBorder="1" applyAlignment="1">
      <alignment horizontal="center"/>
    </xf>
    <xf numFmtId="0" fontId="96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97" fillId="0" borderId="4" xfId="0" applyFont="1" applyBorder="1" applyAlignment="1">
      <alignment horizontal="center" vertical="center"/>
    </xf>
    <xf numFmtId="0" fontId="97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0" fontId="3" fillId="0" borderId="28" xfId="0" applyFont="1" applyBorder="1" applyAlignment="1">
      <alignment vertical="center"/>
    </xf>
    <xf numFmtId="169" fontId="3" fillId="0" borderId="42" xfId="0" applyNumberFormat="1" applyFont="1" applyBorder="1" applyAlignment="1">
      <alignment horizontal="center" vertical="center"/>
    </xf>
    <xf numFmtId="169" fontId="3" fillId="0" borderId="3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0" borderId="34" xfId="0" applyFont="1" applyFill="1" applyBorder="1" applyAlignment="1">
      <alignment vertical="center"/>
    </xf>
    <xf numFmtId="0" fontId="3" fillId="10" borderId="53" xfId="0" applyFont="1" applyFill="1" applyBorder="1" applyAlignment="1">
      <alignment vertical="center"/>
    </xf>
    <xf numFmtId="0" fontId="3" fillId="10" borderId="54" xfId="0" applyFont="1" applyFill="1" applyBorder="1" applyAlignment="1">
      <alignment vertical="center"/>
    </xf>
    <xf numFmtId="0" fontId="3" fillId="10" borderId="55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5" fillId="0" borderId="0" xfId="2" applyFill="1" applyBorder="1" applyAlignment="1" applyProtection="1"/>
    <xf numFmtId="0" fontId="25" fillId="0" borderId="0" xfId="2" applyBorder="1" applyProtection="1"/>
    <xf numFmtId="0" fontId="25" fillId="0" borderId="0" xfId="2"/>
    <xf numFmtId="0" fontId="46" fillId="0" borderId="0" xfId="0" applyFont="1" applyAlignment="1">
      <alignment vertical="center"/>
    </xf>
    <xf numFmtId="0" fontId="103" fillId="0" borderId="14" xfId="0" applyFont="1" applyBorder="1" applyAlignment="1">
      <alignment horizontal="left" vertical="center"/>
    </xf>
    <xf numFmtId="0" fontId="46" fillId="0" borderId="0" xfId="0" applyFont="1" applyAlignment="1">
      <alignment horizontal="left" vertical="top"/>
    </xf>
    <xf numFmtId="0" fontId="28" fillId="0" borderId="30" xfId="0" applyFont="1" applyBorder="1" applyAlignment="1">
      <alignment horizontal="center" vertical="center"/>
    </xf>
    <xf numFmtId="0" fontId="104" fillId="0" borderId="14" xfId="0" applyFont="1" applyBorder="1" applyAlignment="1">
      <alignment horizontal="right" vertical="center"/>
    </xf>
    <xf numFmtId="0" fontId="104" fillId="0" borderId="16" xfId="0" applyFont="1" applyBorder="1" applyAlignment="1">
      <alignment horizontal="right" vertical="top"/>
    </xf>
    <xf numFmtId="0" fontId="3" fillId="0" borderId="56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170" fontId="8" fillId="0" borderId="0" xfId="3" applyNumberFormat="1" applyFont="1" applyBorder="1" applyAlignment="1" applyProtection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0" fontId="6" fillId="11" borderId="11" xfId="0" applyFont="1" applyFill="1" applyBorder="1" applyAlignment="1">
      <alignment horizontal="right" vertical="center"/>
    </xf>
    <xf numFmtId="0" fontId="3" fillId="11" borderId="12" xfId="0" applyFont="1" applyFill="1" applyBorder="1" applyAlignment="1">
      <alignment horizontal="center" vertical="center"/>
    </xf>
    <xf numFmtId="0" fontId="3" fillId="11" borderId="48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right" vertical="center"/>
    </xf>
    <xf numFmtId="0" fontId="3" fillId="11" borderId="0" xfId="0" applyFont="1" applyFill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19" fillId="11" borderId="14" xfId="0" applyFont="1" applyFill="1" applyBorder="1" applyAlignment="1">
      <alignment horizontal="left" vertical="center"/>
    </xf>
    <xf numFmtId="0" fontId="5" fillId="11" borderId="9" xfId="0" applyFont="1" applyFill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19" fillId="11" borderId="16" xfId="0" applyFont="1" applyFill="1" applyBorder="1" applyAlignment="1">
      <alignment horizontal="left" vertical="center"/>
    </xf>
    <xf numFmtId="0" fontId="3" fillId="11" borderId="17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105" fillId="0" borderId="0" xfId="0" applyFont="1" applyAlignment="1">
      <alignment horizontal="left" vertical="center"/>
    </xf>
    <xf numFmtId="0" fontId="10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104" fillId="0" borderId="0" xfId="0" applyFont="1" applyAlignment="1">
      <alignment horizontal="left" vertical="center"/>
    </xf>
    <xf numFmtId="0" fontId="104" fillId="0" borderId="0" xfId="0" applyFont="1" applyAlignment="1">
      <alignment horizontal="right" vertical="center"/>
    </xf>
    <xf numFmtId="0" fontId="79" fillId="0" borderId="17" xfId="0" applyFont="1" applyBorder="1" applyAlignment="1">
      <alignment horizontal="center" vertical="center"/>
    </xf>
    <xf numFmtId="169" fontId="8" fillId="10" borderId="38" xfId="0" applyNumberFormat="1" applyFont="1" applyFill="1" applyBorder="1" applyAlignment="1">
      <alignment horizontal="center" vertical="center"/>
    </xf>
    <xf numFmtId="169" fontId="8" fillId="10" borderId="40" xfId="0" applyNumberFormat="1" applyFont="1" applyFill="1" applyBorder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169" fontId="8" fillId="10" borderId="44" xfId="0" applyNumberFormat="1" applyFont="1" applyFill="1" applyBorder="1" applyAlignment="1">
      <alignment horizontal="center" vertical="center"/>
    </xf>
    <xf numFmtId="169" fontId="8" fillId="10" borderId="46" xfId="0" applyNumberFormat="1" applyFont="1" applyFill="1" applyBorder="1" applyAlignment="1">
      <alignment horizontal="center" vertical="center"/>
    </xf>
    <xf numFmtId="169" fontId="8" fillId="10" borderId="42" xfId="0" applyNumberFormat="1" applyFont="1" applyFill="1" applyBorder="1" applyAlignment="1">
      <alignment horizontal="center" vertical="center"/>
    </xf>
    <xf numFmtId="169" fontId="8" fillId="10" borderId="30" xfId="0" applyNumberFormat="1" applyFont="1" applyFill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0" fontId="99" fillId="0" borderId="4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9" fillId="0" borderId="1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3" fillId="0" borderId="10" xfId="1" applyFont="1" applyFill="1" applyBorder="1" applyAlignment="1">
      <alignment horizontal="center" vertical="center"/>
    </xf>
    <xf numFmtId="169" fontId="8" fillId="2" borderId="10" xfId="1" applyNumberFormat="1" applyFont="1" applyFill="1" applyBorder="1" applyAlignment="1">
      <alignment horizontal="center" vertical="center"/>
    </xf>
    <xf numFmtId="164" fontId="3" fillId="0" borderId="30" xfId="1" applyFont="1" applyFill="1" applyBorder="1" applyAlignment="1">
      <alignment horizontal="center" vertical="center"/>
    </xf>
    <xf numFmtId="164" fontId="13" fillId="0" borderId="30" xfId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9" fontId="3" fillId="0" borderId="0" xfId="0" applyNumberFormat="1" applyFont="1" applyAlignment="1">
      <alignment vertical="top"/>
    </xf>
    <xf numFmtId="0" fontId="5" fillId="0" borderId="44" xfId="0" applyFont="1" applyBorder="1" applyAlignment="1">
      <alignment horizontal="center" vertical="center" wrapText="1"/>
    </xf>
    <xf numFmtId="169" fontId="8" fillId="2" borderId="45" xfId="1" applyNumberFormat="1" applyFont="1" applyFill="1" applyBorder="1" applyAlignment="1">
      <alignment horizontal="center" vertical="center"/>
    </xf>
    <xf numFmtId="164" fontId="3" fillId="0" borderId="45" xfId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164" fontId="3" fillId="0" borderId="46" xfId="1" applyFont="1" applyFill="1" applyBorder="1" applyAlignment="1">
      <alignment horizontal="center" vertical="center"/>
    </xf>
    <xf numFmtId="169" fontId="108" fillId="2" borderId="10" xfId="1" applyNumberFormat="1" applyFont="1" applyFill="1" applyBorder="1" applyAlignment="1">
      <alignment horizontal="center" vertical="center"/>
    </xf>
    <xf numFmtId="169" fontId="109" fillId="2" borderId="10" xfId="1" applyNumberFormat="1" applyFont="1" applyFill="1" applyBorder="1" applyAlignment="1">
      <alignment horizontal="center" vertical="center"/>
    </xf>
    <xf numFmtId="169" fontId="109" fillId="2" borderId="45" xfId="1" applyNumberFormat="1" applyFont="1" applyFill="1" applyBorder="1" applyAlignment="1">
      <alignment horizontal="center" vertical="center"/>
    </xf>
    <xf numFmtId="0" fontId="107" fillId="0" borderId="10" xfId="0" applyFont="1" applyBorder="1" applyAlignment="1">
      <alignment horizontal="center" vertical="center" wrapText="1"/>
    </xf>
    <xf numFmtId="169" fontId="3" fillId="0" borderId="10" xfId="1" applyNumberFormat="1" applyFont="1" applyFill="1" applyBorder="1" applyAlignment="1">
      <alignment horizontal="center" vertical="center"/>
    </xf>
    <xf numFmtId="169" fontId="3" fillId="0" borderId="45" xfId="1" applyNumberFormat="1" applyFont="1" applyFill="1" applyBorder="1" applyAlignment="1">
      <alignment horizontal="center" vertical="center"/>
    </xf>
    <xf numFmtId="16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164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9" fontId="49" fillId="0" borderId="10" xfId="0" applyNumberFormat="1" applyFont="1" applyBorder="1" applyAlignment="1">
      <alignment horizontal="center" vertical="center" wrapText="1"/>
    </xf>
    <xf numFmtId="164" fontId="38" fillId="3" borderId="32" xfId="1" applyFont="1" applyFill="1" applyBorder="1" applyAlignment="1" applyProtection="1">
      <alignment horizontal="center" vertical="center"/>
    </xf>
    <xf numFmtId="164" fontId="91" fillId="0" borderId="0" xfId="1" applyFont="1" applyFill="1" applyBorder="1" applyAlignment="1" applyProtection="1">
      <alignment horizontal="center" vertical="center"/>
    </xf>
    <xf numFmtId="0" fontId="68" fillId="0" borderId="0" xfId="0" applyFont="1" applyAlignment="1">
      <alignment horizontal="center" vertical="center"/>
    </xf>
    <xf numFmtId="0" fontId="13" fillId="0" borderId="11" xfId="0" applyFont="1" applyBorder="1"/>
    <xf numFmtId="0" fontId="13" fillId="0" borderId="16" xfId="0" applyFont="1" applyBorder="1"/>
    <xf numFmtId="0" fontId="13" fillId="0" borderId="27" xfId="0" applyFont="1" applyBorder="1"/>
    <xf numFmtId="0" fontId="15" fillId="2" borderId="22" xfId="0" applyFont="1" applyFill="1" applyBorder="1" applyAlignment="1" applyProtection="1">
      <alignment horizontal="right" vertical="center" wrapText="1"/>
      <protection locked="0"/>
    </xf>
    <xf numFmtId="0" fontId="60" fillId="0" borderId="12" xfId="0" applyFont="1" applyBorder="1" applyAlignment="1">
      <alignment horizontal="right" vertic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105" fillId="0" borderId="0" xfId="0" applyFont="1" applyAlignment="1">
      <alignment horizontal="right" vertical="center"/>
    </xf>
    <xf numFmtId="0" fontId="85" fillId="0" borderId="0" xfId="0" applyFont="1" applyAlignment="1">
      <alignment horizontal="left" vertical="center"/>
    </xf>
    <xf numFmtId="0" fontId="19" fillId="0" borderId="9" xfId="0" applyFont="1" applyBorder="1" applyAlignment="1">
      <alignment horizontal="right" vertical="center"/>
    </xf>
    <xf numFmtId="0" fontId="107" fillId="0" borderId="9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164" fontId="8" fillId="0" borderId="17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13" fillId="0" borderId="15" xfId="0" applyFont="1" applyBorder="1" applyAlignment="1">
      <alignment horizontal="right" vertical="center"/>
    </xf>
    <xf numFmtId="0" fontId="113" fillId="0" borderId="17" xfId="0" applyFont="1" applyBorder="1" applyAlignment="1">
      <alignment horizontal="left" vertical="center"/>
    </xf>
    <xf numFmtId="165" fontId="3" fillId="2" borderId="0" xfId="0" applyNumberFormat="1" applyFont="1" applyFill="1" applyAlignment="1" applyProtection="1">
      <alignment horizontal="center" vertical="center"/>
      <protection locked="0"/>
    </xf>
    <xf numFmtId="165" fontId="8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14" fillId="0" borderId="8" xfId="0" applyFont="1" applyBorder="1" applyAlignment="1">
      <alignment horizontal="left" vertical="center" indent="2"/>
    </xf>
    <xf numFmtId="0" fontId="106" fillId="0" borderId="8" xfId="0" applyFont="1" applyBorder="1" applyAlignment="1">
      <alignment horizontal="left" vertical="center" indent="2"/>
    </xf>
    <xf numFmtId="0" fontId="21" fillId="0" borderId="0" xfId="0" applyFont="1"/>
    <xf numFmtId="0" fontId="113" fillId="0" borderId="0" xfId="0" applyFont="1" applyAlignment="1">
      <alignment vertical="center"/>
    </xf>
    <xf numFmtId="0" fontId="113" fillId="0" borderId="0" xfId="0" applyFont="1" applyAlignment="1">
      <alignment vertical="top"/>
    </xf>
    <xf numFmtId="0" fontId="113" fillId="0" borderId="14" xfId="0" applyFont="1" applyBorder="1" applyAlignment="1">
      <alignment horizontal="left" vertical="center"/>
    </xf>
    <xf numFmtId="0" fontId="113" fillId="0" borderId="14" xfId="0" applyFont="1" applyBorder="1" applyAlignment="1">
      <alignment vertical="top"/>
    </xf>
    <xf numFmtId="0" fontId="113" fillId="0" borderId="0" xfId="0" applyFont="1" applyAlignment="1">
      <alignment horizontal="left" vertical="center"/>
    </xf>
    <xf numFmtId="0" fontId="25" fillId="0" borderId="0" xfId="2" applyBorder="1" applyAlignment="1" applyProtection="1">
      <alignment horizontal="left" vertical="center" indent="2"/>
    </xf>
    <xf numFmtId="0" fontId="98" fillId="0" borderId="0" xfId="0" applyFont="1" applyAlignment="1">
      <alignment vertical="center"/>
    </xf>
    <xf numFmtId="0" fontId="1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64" fontId="18" fillId="0" borderId="26" xfId="1" applyFont="1" applyBorder="1" applyAlignment="1">
      <alignment horizontal="center" vertical="center"/>
    </xf>
    <xf numFmtId="164" fontId="18" fillId="3" borderId="26" xfId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35" fillId="2" borderId="2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 indent="1"/>
    </xf>
    <xf numFmtId="0" fontId="119" fillId="0" borderId="0" xfId="2" applyFont="1" applyAlignment="1" applyProtection="1">
      <alignment vertical="center"/>
      <protection locked="0"/>
    </xf>
    <xf numFmtId="2" fontId="35" fillId="2" borderId="10" xfId="0" applyNumberFormat="1" applyFont="1" applyFill="1" applyBorder="1" applyAlignment="1" applyProtection="1">
      <alignment horizontal="center" vertical="center"/>
      <protection locked="0"/>
    </xf>
    <xf numFmtId="0" fontId="119" fillId="0" borderId="0" xfId="2" applyFont="1" applyAlignment="1" applyProtection="1">
      <alignment horizontal="left" vertical="center"/>
      <protection locked="0"/>
    </xf>
    <xf numFmtId="0" fontId="23" fillId="0" borderId="0" xfId="0" applyFont="1" applyAlignment="1">
      <alignment horizontal="right"/>
    </xf>
    <xf numFmtId="0" fontId="23" fillId="0" borderId="0" xfId="0" applyFont="1"/>
    <xf numFmtId="0" fontId="17" fillId="0" borderId="30" xfId="0" applyFont="1" applyBorder="1" applyAlignment="1">
      <alignment horizontal="center" vertical="center"/>
    </xf>
    <xf numFmtId="4" fontId="2" fillId="0" borderId="36" xfId="0" applyNumberFormat="1" applyFont="1" applyBorder="1" applyAlignment="1">
      <alignment horizontal="center" vertical="center"/>
    </xf>
    <xf numFmtId="0" fontId="120" fillId="0" borderId="0" xfId="0" applyFont="1" applyAlignment="1">
      <alignment horizontal="left"/>
    </xf>
    <xf numFmtId="0" fontId="121" fillId="0" borderId="0" xfId="0" applyFont="1" applyAlignment="1">
      <alignment horizontal="left"/>
    </xf>
    <xf numFmtId="172" fontId="8" fillId="0" borderId="10" xfId="0" applyNumberFormat="1" applyFont="1" applyBorder="1" applyAlignment="1">
      <alignment horizontal="center" vertical="center"/>
    </xf>
    <xf numFmtId="164" fontId="18" fillId="15" borderId="1" xfId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166" fontId="62" fillId="0" borderId="0" xfId="0" applyNumberFormat="1" applyFont="1" applyAlignment="1">
      <alignment horizontal="center" vertical="center"/>
    </xf>
    <xf numFmtId="173" fontId="62" fillId="0" borderId="0" xfId="0" applyNumberFormat="1" applyFont="1" applyAlignment="1">
      <alignment horizontal="center" vertical="center"/>
    </xf>
    <xf numFmtId="173" fontId="63" fillId="0" borderId="0" xfId="1" applyNumberFormat="1" applyFont="1" applyAlignment="1" applyProtection="1">
      <alignment horizontal="center" vertical="center"/>
    </xf>
    <xf numFmtId="166" fontId="62" fillId="0" borderId="0" xfId="1" applyNumberFormat="1" applyFont="1" applyAlignment="1" applyProtection="1">
      <alignment horizontal="center" vertical="center"/>
    </xf>
    <xf numFmtId="0" fontId="122" fillId="0" borderId="0" xfId="0" applyFont="1" applyAlignment="1">
      <alignment horizontal="left"/>
    </xf>
    <xf numFmtId="0" fontId="122" fillId="0" borderId="0" xfId="0" applyFont="1" applyAlignment="1">
      <alignment horizontal="left" vertical="center"/>
    </xf>
    <xf numFmtId="0" fontId="122" fillId="0" borderId="0" xfId="0" applyFont="1" applyAlignment="1">
      <alignment horizontal="left" vertical="top"/>
    </xf>
    <xf numFmtId="171" fontId="17" fillId="10" borderId="10" xfId="0" applyNumberFormat="1" applyFont="1" applyFill="1" applyBorder="1" applyAlignment="1" applyProtection="1">
      <alignment horizontal="center" vertical="center"/>
      <protection locked="0"/>
    </xf>
    <xf numFmtId="2" fontId="17" fillId="10" borderId="10" xfId="0" applyNumberFormat="1" applyFont="1" applyFill="1" applyBorder="1" applyAlignment="1" applyProtection="1">
      <alignment horizontal="center" vertical="center"/>
      <protection locked="0"/>
    </xf>
    <xf numFmtId="0" fontId="122" fillId="0" borderId="0" xfId="0" applyFont="1"/>
    <xf numFmtId="0" fontId="8" fillId="0" borderId="24" xfId="0" applyFont="1" applyBorder="1" applyAlignment="1">
      <alignment horizontal="left" vertical="center"/>
    </xf>
    <xf numFmtId="164" fontId="3" fillId="0" borderId="28" xfId="0" applyNumberFormat="1" applyFont="1" applyBorder="1" applyAlignment="1">
      <alignment horizontal="center" vertical="center"/>
    </xf>
    <xf numFmtId="44" fontId="6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46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104" fillId="11" borderId="12" xfId="0" applyFont="1" applyFill="1" applyBorder="1" applyAlignment="1">
      <alignment horizontal="center" vertical="center"/>
    </xf>
    <xf numFmtId="164" fontId="8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12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64" fontId="54" fillId="0" borderId="0" xfId="1" applyFont="1" applyBorder="1" applyAlignment="1">
      <alignment horizontal="center" vertical="center"/>
    </xf>
    <xf numFmtId="164" fontId="8" fillId="0" borderId="17" xfId="1" applyFont="1" applyBorder="1" applyAlignment="1" applyProtection="1">
      <alignment horizontal="center" vertical="center"/>
    </xf>
    <xf numFmtId="0" fontId="21" fillId="9" borderId="0" xfId="0" applyFont="1" applyFill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left" vertical="center" indent="1"/>
    </xf>
    <xf numFmtId="0" fontId="10" fillId="9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44" fontId="18" fillId="0" borderId="27" xfId="0" applyNumberFormat="1" applyFont="1" applyBorder="1" applyAlignment="1">
      <alignment horizontal="center" vertical="center"/>
    </xf>
    <xf numFmtId="164" fontId="0" fillId="0" borderId="0" xfId="1" applyFont="1"/>
    <xf numFmtId="0" fontId="127" fillId="0" borderId="0" xfId="4"/>
    <xf numFmtId="164" fontId="0" fillId="0" borderId="0" xfId="1" applyFont="1" applyFill="1"/>
    <xf numFmtId="0" fontId="0" fillId="0" borderId="59" xfId="0" applyBorder="1"/>
    <xf numFmtId="0" fontId="2" fillId="2" borderId="37" xfId="0" applyFont="1" applyFill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0" fillId="0" borderId="61" xfId="0" applyBorder="1"/>
    <xf numFmtId="0" fontId="0" fillId="0" borderId="41" xfId="0" applyBorder="1"/>
    <xf numFmtId="164" fontId="0" fillId="0" borderId="41" xfId="1" applyFont="1" applyBorder="1"/>
    <xf numFmtId="164" fontId="0" fillId="0" borderId="60" xfId="1" applyFont="1" applyBorder="1"/>
    <xf numFmtId="0" fontId="0" fillId="0" borderId="43" xfId="0" applyBorder="1"/>
    <xf numFmtId="164" fontId="0" fillId="0" borderId="43" xfId="1" applyFont="1" applyBorder="1"/>
    <xf numFmtId="0" fontId="0" fillId="0" borderId="62" xfId="0" applyBorder="1"/>
    <xf numFmtId="0" fontId="123" fillId="0" borderId="61" xfId="0" applyFont="1" applyBorder="1" applyAlignment="1">
      <alignment horizontal="center" wrapText="1"/>
    </xf>
    <xf numFmtId="0" fontId="62" fillId="0" borderId="0" xfId="0" quotePrefix="1" applyFont="1" applyAlignment="1">
      <alignment horizontal="center" vertical="center"/>
    </xf>
    <xf numFmtId="0" fontId="129" fillId="0" borderId="0" xfId="0" applyFont="1" applyAlignment="1">
      <alignment horizontal="right" vertical="center"/>
    </xf>
    <xf numFmtId="0" fontId="129" fillId="0" borderId="0" xfId="0" applyFont="1" applyAlignment="1">
      <alignment horizontal="left" vertical="center"/>
    </xf>
    <xf numFmtId="164" fontId="0" fillId="2" borderId="41" xfId="1" applyFont="1" applyFill="1" applyBorder="1"/>
    <xf numFmtId="0" fontId="0" fillId="0" borderId="41" xfId="0" applyBorder="1" applyAlignment="1">
      <alignment wrapText="1"/>
    </xf>
    <xf numFmtId="164" fontId="0" fillId="2" borderId="43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2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2" fontId="8" fillId="0" borderId="24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169" fontId="18" fillId="2" borderId="42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7" fillId="2" borderId="30" xfId="0" applyFont="1" applyFill="1" applyBorder="1" applyAlignment="1">
      <alignment vertical="center"/>
    </xf>
    <xf numFmtId="169" fontId="83" fillId="2" borderId="42" xfId="0" applyNumberFormat="1" applyFont="1" applyFill="1" applyBorder="1" applyAlignment="1">
      <alignment horizontal="center" vertical="center"/>
    </xf>
    <xf numFmtId="0" fontId="83" fillId="2" borderId="10" xfId="0" applyFont="1" applyFill="1" applyBorder="1" applyAlignment="1">
      <alignment horizontal="center" vertical="center"/>
    </xf>
    <xf numFmtId="169" fontId="83" fillId="2" borderId="10" xfId="0" applyNumberFormat="1" applyFont="1" applyFill="1" applyBorder="1" applyAlignment="1">
      <alignment horizontal="center" vertical="center"/>
    </xf>
    <xf numFmtId="0" fontId="83" fillId="2" borderId="30" xfId="0" applyFont="1" applyFill="1" applyBorder="1" applyAlignment="1">
      <alignment horizontal="center" vertical="center"/>
    </xf>
    <xf numFmtId="169" fontId="18" fillId="2" borderId="38" xfId="0" applyNumberFormat="1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vertical="center"/>
    </xf>
    <xf numFmtId="0" fontId="18" fillId="2" borderId="40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17" fillId="2" borderId="39" xfId="0" applyFont="1" applyFill="1" applyBorder="1" applyAlignment="1">
      <alignment vertical="center"/>
    </xf>
    <xf numFmtId="0" fontId="17" fillId="2" borderId="4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0" xfId="1" applyFont="1" applyAlignment="1" applyProtection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8" fillId="0" borderId="47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64" fontId="8" fillId="0" borderId="0" xfId="1" applyFont="1" applyFill="1" applyBorder="1" applyAlignment="1" applyProtection="1">
      <alignment horizontal="center" vertical="center"/>
    </xf>
    <xf numFmtId="164" fontId="8" fillId="0" borderId="0" xfId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7" fillId="12" borderId="2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/>
    </xf>
    <xf numFmtId="0" fontId="17" fillId="12" borderId="8" xfId="0" applyFont="1" applyFill="1" applyBorder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17" fillId="12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6" fillId="5" borderId="9" xfId="0" applyFont="1" applyFill="1" applyBorder="1" applyAlignment="1">
      <alignment horizontal="center" vertical="center"/>
    </xf>
    <xf numFmtId="0" fontId="128" fillId="0" borderId="7" xfId="0" applyFont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17" fillId="13" borderId="9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82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122" fillId="0" borderId="12" xfId="0" applyFont="1" applyBorder="1" applyAlignment="1">
      <alignment horizontal="center" vertical="center"/>
    </xf>
    <xf numFmtId="0" fontId="124" fillId="0" borderId="12" xfId="0" applyFont="1" applyBorder="1" applyAlignment="1">
      <alignment horizontal="center" vertical="center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22" fillId="0" borderId="0" xfId="0" applyFont="1" applyAlignment="1">
      <alignment horizontal="center" vertical="center"/>
    </xf>
    <xf numFmtId="0" fontId="124" fillId="0" borderId="0" xfId="0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106" fillId="0" borderId="29" xfId="0" applyFont="1" applyBorder="1" applyAlignment="1">
      <alignment horizontal="left" vertical="center" wrapText="1" indent="2"/>
    </xf>
    <xf numFmtId="0" fontId="29" fillId="0" borderId="28" xfId="0" applyFont="1" applyBorder="1" applyAlignment="1">
      <alignment horizontal="left" vertical="center" wrapText="1" indent="2"/>
    </xf>
    <xf numFmtId="0" fontId="0" fillId="0" borderId="27" xfId="0" applyBorder="1" applyAlignment="1">
      <alignment horizontal="left" indent="2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3" fillId="0" borderId="8" xfId="0" applyFont="1" applyBorder="1" applyAlignment="1">
      <alignment horizontal="left" vertical="top" wrapText="1" indent="3"/>
    </xf>
    <xf numFmtId="0" fontId="33" fillId="0" borderId="0" xfId="0" applyFont="1" applyAlignment="1">
      <alignment horizontal="left" vertical="top" wrapText="1" indent="3"/>
    </xf>
    <xf numFmtId="0" fontId="26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25" fillId="0" borderId="0" xfId="2" applyFill="1" applyBorder="1" applyAlignment="1" applyProtection="1">
      <protection locked="0"/>
    </xf>
    <xf numFmtId="0" fontId="0" fillId="0" borderId="0" xfId="0" applyProtection="1">
      <protection locked="0"/>
    </xf>
    <xf numFmtId="0" fontId="17" fillId="0" borderId="33" xfId="0" applyFont="1" applyBorder="1" applyAlignment="1">
      <alignment horizontal="left" vertical="center" wrapText="1" indent="1"/>
    </xf>
    <xf numFmtId="0" fontId="17" fillId="0" borderId="34" xfId="0" applyFont="1" applyBorder="1" applyAlignment="1">
      <alignment horizontal="left" vertical="center" wrapText="1" indent="1"/>
    </xf>
    <xf numFmtId="0" fontId="17" fillId="0" borderId="35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40" fillId="0" borderId="24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/>
    </xf>
    <xf numFmtId="0" fontId="13" fillId="0" borderId="25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59" fillId="0" borderId="0" xfId="0" applyFont="1" applyAlignment="1">
      <alignment horizontal="left" vertical="top" wrapText="1" indent="3"/>
    </xf>
    <xf numFmtId="0" fontId="0" fillId="0" borderId="28" xfId="0" applyBorder="1" applyAlignment="1">
      <alignment horizontal="left" vertical="center" wrapText="1" indent="2"/>
    </xf>
    <xf numFmtId="0" fontId="0" fillId="0" borderId="27" xfId="0" applyBorder="1" applyAlignment="1">
      <alignment horizontal="left" wrapText="1" indent="2"/>
    </xf>
    <xf numFmtId="164" fontId="38" fillId="3" borderId="32" xfId="1" applyFont="1" applyFill="1" applyBorder="1" applyAlignment="1" applyProtection="1">
      <alignment horizontal="center" vertical="center"/>
    </xf>
    <xf numFmtId="0" fontId="111" fillId="0" borderId="24" xfId="0" applyFont="1" applyBorder="1" applyAlignment="1">
      <alignment horizontal="center" vertical="center"/>
    </xf>
    <xf numFmtId="0" fontId="111" fillId="0" borderId="27" xfId="0" applyFont="1" applyBorder="1" applyAlignment="1">
      <alignment horizontal="center" vertical="center"/>
    </xf>
    <xf numFmtId="0" fontId="56" fillId="0" borderId="0" xfId="0" applyFont="1" applyAlignment="1">
      <alignment wrapText="1"/>
    </xf>
    <xf numFmtId="0" fontId="57" fillId="0" borderId="0" xfId="0" applyFont="1"/>
    <xf numFmtId="0" fontId="17" fillId="0" borderId="8" xfId="0" applyFont="1" applyBorder="1" applyAlignment="1">
      <alignment horizontal="left" vertical="center" wrapText="1" indent="2"/>
    </xf>
    <xf numFmtId="0" fontId="58" fillId="0" borderId="0" xfId="0" applyFont="1" applyAlignment="1">
      <alignment horizontal="left" vertical="center" wrapText="1" indent="2"/>
    </xf>
    <xf numFmtId="0" fontId="49" fillId="0" borderId="10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right" vertical="center"/>
    </xf>
    <xf numFmtId="0" fontId="51" fillId="0" borderId="27" xfId="0" applyFont="1" applyBorder="1" applyAlignment="1">
      <alignment horizontal="right" vertical="center"/>
    </xf>
    <xf numFmtId="0" fontId="48" fillId="0" borderId="10" xfId="0" applyFont="1" applyBorder="1" applyAlignment="1">
      <alignment horizontal="right" vertical="center" wrapText="1"/>
    </xf>
    <xf numFmtId="0" fontId="26" fillId="0" borderId="0" xfId="0" applyFont="1" applyProtection="1">
      <protection locked="0"/>
    </xf>
    <xf numFmtId="1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9" fontId="49" fillId="0" borderId="10" xfId="0" applyNumberFormat="1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left" vertical="center" wrapText="1" indent="2"/>
    </xf>
    <xf numFmtId="0" fontId="123" fillId="0" borderId="28" xfId="0" applyFont="1" applyBorder="1" applyAlignment="1">
      <alignment horizontal="left" vertical="center" wrapText="1" indent="2"/>
    </xf>
    <xf numFmtId="0" fontId="123" fillId="0" borderId="28" xfId="0" applyFont="1" applyBorder="1" applyAlignment="1">
      <alignment horizontal="left" wrapText="1" indent="2"/>
    </xf>
    <xf numFmtId="0" fontId="123" fillId="0" borderId="27" xfId="0" applyFont="1" applyBorder="1" applyAlignment="1">
      <alignment horizontal="left" wrapText="1" indent="2"/>
    </xf>
    <xf numFmtId="0" fontId="21" fillId="0" borderId="8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 wrapText="1"/>
    </xf>
    <xf numFmtId="0" fontId="59" fillId="0" borderId="16" xfId="0" applyFont="1" applyBorder="1" applyAlignment="1">
      <alignment horizontal="center" vertical="center" wrapText="1"/>
    </xf>
    <xf numFmtId="0" fontId="59" fillId="0" borderId="18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0" fillId="0" borderId="28" xfId="0" applyBorder="1"/>
    <xf numFmtId="0" fontId="0" fillId="0" borderId="27" xfId="0" applyBorder="1"/>
    <xf numFmtId="164" fontId="41" fillId="0" borderId="0" xfId="1" applyFont="1" applyBorder="1" applyAlignment="1">
      <alignment vertical="center"/>
    </xf>
    <xf numFmtId="164" fontId="38" fillId="3" borderId="6" xfId="1" applyFont="1" applyFill="1" applyBorder="1" applyAlignment="1">
      <alignment horizontal="left" vertical="center" indent="2"/>
    </xf>
    <xf numFmtId="164" fontId="38" fillId="0" borderId="6" xfId="1" applyFont="1" applyBorder="1" applyAlignment="1">
      <alignment horizontal="left" vertical="center" indent="2"/>
    </xf>
    <xf numFmtId="164" fontId="75" fillId="0" borderId="0" xfId="1" applyFont="1" applyBorder="1" applyAlignment="1">
      <alignment vertical="center"/>
    </xf>
    <xf numFmtId="0" fontId="45" fillId="0" borderId="28" xfId="0" applyFont="1" applyBorder="1" applyAlignment="1">
      <alignment horizontal="right"/>
    </xf>
    <xf numFmtId="0" fontId="51" fillId="0" borderId="27" xfId="0" applyFont="1" applyBorder="1" applyAlignment="1">
      <alignment horizontal="right"/>
    </xf>
    <xf numFmtId="0" fontId="72" fillId="0" borderId="0" xfId="2" applyFont="1" applyFill="1" applyBorder="1" applyAlignment="1" applyProtection="1">
      <protection locked="0"/>
    </xf>
    <xf numFmtId="0" fontId="59" fillId="0" borderId="0" xfId="0" applyFont="1" applyProtection="1">
      <protection locked="0"/>
    </xf>
    <xf numFmtId="0" fontId="88" fillId="0" borderId="5" xfId="0" applyFont="1" applyBorder="1" applyAlignment="1">
      <alignment horizontal="left" vertical="center" wrapText="1" indent="1"/>
    </xf>
    <xf numFmtId="0" fontId="114" fillId="0" borderId="28" xfId="0" applyFont="1" applyBorder="1" applyAlignment="1">
      <alignment horizontal="left" vertical="center" wrapText="1" indent="2"/>
    </xf>
    <xf numFmtId="0" fontId="123" fillId="0" borderId="27" xfId="0" applyFont="1" applyBorder="1" applyAlignment="1">
      <alignment horizontal="left" indent="2"/>
    </xf>
    <xf numFmtId="0" fontId="91" fillId="0" borderId="11" xfId="0" applyFont="1" applyBorder="1" applyAlignment="1">
      <alignment horizontal="center" vertical="center" wrapText="1"/>
    </xf>
    <xf numFmtId="0" fontId="92" fillId="0" borderId="12" xfId="0" applyFont="1" applyBorder="1" applyAlignment="1">
      <alignment vertical="center" wrapText="1"/>
    </xf>
    <xf numFmtId="0" fontId="92" fillId="0" borderId="13" xfId="0" applyFont="1" applyBorder="1" applyAlignment="1">
      <alignment vertical="center" wrapText="1"/>
    </xf>
    <xf numFmtId="0" fontId="92" fillId="0" borderId="16" xfId="0" applyFont="1" applyBorder="1" applyAlignment="1">
      <alignment vertical="center" wrapText="1"/>
    </xf>
    <xf numFmtId="0" fontId="92" fillId="0" borderId="17" xfId="0" applyFont="1" applyBorder="1" applyAlignment="1">
      <alignment vertical="center" wrapText="1"/>
    </xf>
    <xf numFmtId="0" fontId="92" fillId="0" borderId="18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wrapText="1"/>
    </xf>
    <xf numFmtId="0" fontId="87" fillId="0" borderId="8" xfId="0" applyFont="1" applyBorder="1" applyAlignment="1">
      <alignment horizontal="center" vertical="center" wrapText="1"/>
    </xf>
    <xf numFmtId="0" fontId="87" fillId="0" borderId="5" xfId="0" applyFont="1" applyBorder="1" applyAlignment="1">
      <alignment horizontal="center" vertical="center" wrapText="1"/>
    </xf>
    <xf numFmtId="0" fontId="88" fillId="0" borderId="33" xfId="0" applyFont="1" applyBorder="1" applyAlignment="1">
      <alignment horizontal="left" vertical="center" wrapText="1" indent="1"/>
    </xf>
    <xf numFmtId="0" fontId="88" fillId="0" borderId="29" xfId="0" applyFont="1" applyBorder="1" applyAlignment="1">
      <alignment horizontal="left" vertical="center" wrapText="1" indent="1"/>
    </xf>
    <xf numFmtId="0" fontId="17" fillId="0" borderId="28" xfId="0" applyFont="1" applyBorder="1" applyAlignment="1">
      <alignment horizontal="left" vertical="center" wrapText="1" indent="1"/>
    </xf>
    <xf numFmtId="0" fontId="17" fillId="0" borderId="36" xfId="0" applyFont="1" applyBorder="1" applyAlignment="1">
      <alignment horizontal="left" vertical="center" wrapText="1" indent="1"/>
    </xf>
    <xf numFmtId="0" fontId="114" fillId="0" borderId="27" xfId="0" applyFont="1" applyBorder="1" applyAlignment="1">
      <alignment horizontal="left" vertical="center" wrapText="1" indent="2"/>
    </xf>
    <xf numFmtId="0" fontId="87" fillId="0" borderId="37" xfId="0" applyFont="1" applyBorder="1" applyAlignment="1">
      <alignment horizontal="center" vertical="center" wrapText="1"/>
    </xf>
    <xf numFmtId="0" fontId="87" fillId="0" borderId="41" xfId="0" applyFont="1" applyBorder="1" applyAlignment="1">
      <alignment horizontal="center" vertical="center" wrapText="1"/>
    </xf>
    <xf numFmtId="0" fontId="87" fillId="0" borderId="43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left" vertical="center" wrapText="1" indent="1"/>
    </xf>
    <xf numFmtId="0" fontId="17" fillId="0" borderId="39" xfId="0" applyFont="1" applyBorder="1" applyAlignment="1">
      <alignment horizontal="left" vertical="center" wrapText="1" indent="1"/>
    </xf>
    <xf numFmtId="0" fontId="17" fillId="0" borderId="40" xfId="0" applyFont="1" applyBorder="1" applyAlignment="1">
      <alignment horizontal="left" vertical="center" wrapText="1" indent="1"/>
    </xf>
    <xf numFmtId="0" fontId="17" fillId="0" borderId="42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 indent="1"/>
    </xf>
    <xf numFmtId="0" fontId="88" fillId="0" borderId="44" xfId="0" applyFont="1" applyBorder="1" applyAlignment="1">
      <alignment horizontal="left" vertical="center" wrapText="1" indent="1"/>
    </xf>
    <xf numFmtId="0" fontId="88" fillId="0" borderId="45" xfId="0" applyFont="1" applyBorder="1" applyAlignment="1">
      <alignment horizontal="left" vertical="center" wrapText="1" indent="1"/>
    </xf>
    <xf numFmtId="0" fontId="88" fillId="0" borderId="46" xfId="0" applyFont="1" applyBorder="1" applyAlignment="1">
      <alignment horizontal="left" vertical="center" wrapText="1" indent="1"/>
    </xf>
  </cellXfs>
  <cellStyles count="5">
    <cellStyle name="Collegamento ipertestuale" xfId="2" builtinId="8"/>
    <cellStyle name="Normale" xfId="0" builtinId="0"/>
    <cellStyle name="Normale 2" xfId="4"/>
    <cellStyle name="Percentuale" xfId="3" builtinId="5"/>
    <cellStyle name="Valuta" xfId="1" builtinId="4"/>
  </cellStyles>
  <dxfs count="42"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ill>
        <patternFill patternType="lightUp">
          <bgColor theme="0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 patternType="lightUp"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color rgb="FFFF0000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rgb="FFFF0000"/>
      </font>
    </dxf>
    <dxf>
      <fill>
        <patternFill patternType="lightUp">
          <bgColor theme="0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 patternType="lightUp">
          <bgColor theme="0"/>
        </patternFill>
      </fill>
    </dxf>
    <dxf>
      <font>
        <b val="0"/>
        <i val="0"/>
        <color rgb="FFFF000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colors>
    <mruColors>
      <color rgb="FFF2DCDB"/>
      <color rgb="FFEBF1DE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ei.comune.parma.it/suei/suei.asp?ID=47&amp;page=1&amp;direct=true&amp;IdMenu=35" TargetMode="External"/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mune.parma.it/pianificazioneterritoriale/mappeinterattive/" TargetMode="External"/><Relationship Id="rId1" Type="http://schemas.openxmlformats.org/officeDocument/2006/relationships/hyperlink" Target="https://ssl.comune.parma.it/RicercaAtti/Handlers/VediDocumento.ashx?path=/DDD/1//2019/PD/0002143/20190701152754160936896757_2.PDF&amp;name=2019_PD_0002143_CTP3_Territorio_urbanizzato_urbanizzabile_rurale_APPR_signed.pdf_signed.pdf&amp;logname=2019_PD_CTP3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3175</xdr:colOff>
      <xdr:row>18</xdr:row>
      <xdr:rowOff>476249</xdr:rowOff>
    </xdr:from>
    <xdr:to>
      <xdr:col>19</xdr:col>
      <xdr:colOff>0</xdr:colOff>
      <xdr:row>26</xdr:row>
      <xdr:rowOff>211666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899900" y="5229224"/>
          <a:ext cx="5464175" cy="30024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/>
            <a:t>Per le funzioni di cui alla Tab. A, svolte all'aperto, sono dovuti:</a:t>
          </a:r>
        </a:p>
        <a:p>
          <a:endParaRPr lang="it-IT" sz="1000"/>
        </a:p>
        <a:p>
          <a:r>
            <a:rPr lang="it-IT" sz="1000"/>
            <a:t>- Oneri U1 e U2 da calcolarsi sul parametro "AI" (area d'insediamento all'aperto)</a:t>
          </a:r>
        </a:p>
        <a:p>
          <a:endParaRPr lang="it-IT" sz="1000" i="1"/>
        </a:p>
        <a:p>
          <a:r>
            <a:rPr lang="it-IT" sz="1000" i="1"/>
            <a:t>esempio:</a:t>
          </a:r>
          <a:r>
            <a:rPr lang="it-IT" sz="1000" i="1" baseline="0"/>
            <a:t> "AI" potrebbe essere l'area del piazzale di stoccaggio delle materie per un'attività produttiva, oppure la superficie di un campo da tennis/paddle, oppure l'area esterna di un pubblico eservizio utilizzata per svolgere l'attività di somministrazione.</a:t>
          </a:r>
        </a:p>
        <a:p>
          <a:endParaRPr lang="it-IT" sz="1000" i="1"/>
        </a:p>
        <a:p>
          <a:r>
            <a:rPr lang="it-IT" sz="1000" b="1"/>
            <a:t>Per le funzioni di cui alla Tab. B, svolte all'aperto, sono dovuti:</a:t>
          </a:r>
        </a:p>
        <a:p>
          <a:endParaRPr lang="it-IT" sz="1000" b="1"/>
        </a:p>
        <a:p>
          <a:r>
            <a:rPr lang="it-IT" sz="1000"/>
            <a:t>- Oneri U1 e U2 da calcolarsi sul parametro "AI" (area d'insediamento all'aperto)</a:t>
          </a:r>
        </a:p>
        <a:p>
          <a:r>
            <a:rPr lang="it-IT" sz="1000"/>
            <a:t>- Contributi D ed S da calcolarsi sul parametro "AI" (area d'insediamento all'aperto)</a:t>
          </a:r>
        </a:p>
        <a:p>
          <a:endParaRPr lang="it-IT" sz="1000" i="1"/>
        </a:p>
        <a:p>
          <a:r>
            <a:rPr lang="it-IT" sz="1000" i="1"/>
            <a:t>esempio: "AI" potrebbe essere l'area del piazzale di stoccagio delle materie per un'attività produttiva.</a:t>
          </a:r>
        </a:p>
        <a:p>
          <a:endParaRPr lang="it-IT" sz="800"/>
        </a:p>
        <a:p>
          <a:endParaRPr lang="it-IT" sz="8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0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ai sensi della DCC 69/2019, </a:t>
          </a:r>
          <a:r>
            <a:rPr lang="it-IT" sz="10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solo per gli impianti sportivi svolti all'aperto (es: campi tennis/paddel)</a:t>
          </a:r>
          <a:r>
            <a:rPr lang="it-IT" sz="10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l'area d'insediamento all'aperto "AI" di progetto viene ridotta del 50%.</a:t>
          </a:r>
          <a:endParaRPr lang="it-IT" sz="1000">
            <a:effectLst/>
          </a:endParaRPr>
        </a:p>
        <a:p>
          <a:endParaRPr lang="it-IT" sz="10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12</xdr:col>
      <xdr:colOff>333375</xdr:colOff>
      <xdr:row>56</xdr:row>
      <xdr:rowOff>152400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333500"/>
          <a:ext cx="68294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12</xdr:col>
      <xdr:colOff>342900</xdr:colOff>
      <xdr:row>110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1620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12</xdr:col>
      <xdr:colOff>333375</xdr:colOff>
      <xdr:row>164</xdr:row>
      <xdr:rowOff>152400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1907500"/>
          <a:ext cx="68294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12</xdr:col>
      <xdr:colOff>352425</xdr:colOff>
      <xdr:row>218</xdr:row>
      <xdr:rowOff>152400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2194500"/>
          <a:ext cx="68484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220</xdr:row>
      <xdr:rowOff>0</xdr:rowOff>
    </xdr:from>
    <xdr:to>
      <xdr:col>12</xdr:col>
      <xdr:colOff>342900</xdr:colOff>
      <xdr:row>272</xdr:row>
      <xdr:rowOff>152400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42481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274</xdr:row>
      <xdr:rowOff>0</xdr:rowOff>
    </xdr:from>
    <xdr:to>
      <xdr:col>12</xdr:col>
      <xdr:colOff>342900</xdr:colOff>
      <xdr:row>326</xdr:row>
      <xdr:rowOff>152400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2768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12</xdr:col>
      <xdr:colOff>352425</xdr:colOff>
      <xdr:row>380</xdr:row>
      <xdr:rowOff>152400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3055500"/>
          <a:ext cx="68484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382</xdr:row>
      <xdr:rowOff>0</xdr:rowOff>
    </xdr:from>
    <xdr:to>
      <xdr:col>12</xdr:col>
      <xdr:colOff>342900</xdr:colOff>
      <xdr:row>434</xdr:row>
      <xdr:rowOff>152400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3342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436</xdr:row>
      <xdr:rowOff>0</xdr:rowOff>
    </xdr:from>
    <xdr:to>
      <xdr:col>12</xdr:col>
      <xdr:colOff>333375</xdr:colOff>
      <xdr:row>488</xdr:row>
      <xdr:rowOff>152400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629500"/>
          <a:ext cx="68294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490</xdr:row>
      <xdr:rowOff>0</xdr:rowOff>
    </xdr:from>
    <xdr:to>
      <xdr:col>12</xdr:col>
      <xdr:colOff>342900</xdr:colOff>
      <xdr:row>542</xdr:row>
      <xdr:rowOff>152400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3916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12</xdr:col>
      <xdr:colOff>333375</xdr:colOff>
      <xdr:row>55</xdr:row>
      <xdr:rowOff>152400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333500"/>
          <a:ext cx="68294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342900</xdr:colOff>
      <xdr:row>109</xdr:row>
      <xdr:rowOff>152400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1620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12</xdr:col>
      <xdr:colOff>333375</xdr:colOff>
      <xdr:row>163</xdr:row>
      <xdr:rowOff>152400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1907500"/>
          <a:ext cx="68294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12</xdr:col>
      <xdr:colOff>352425</xdr:colOff>
      <xdr:row>217</xdr:row>
      <xdr:rowOff>152400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2194500"/>
          <a:ext cx="68484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12</xdr:col>
      <xdr:colOff>342900</xdr:colOff>
      <xdr:row>271</xdr:row>
      <xdr:rowOff>152400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42481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12</xdr:col>
      <xdr:colOff>342900</xdr:colOff>
      <xdr:row>325</xdr:row>
      <xdr:rowOff>152400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2768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12</xdr:col>
      <xdr:colOff>352425</xdr:colOff>
      <xdr:row>379</xdr:row>
      <xdr:rowOff>152400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3055500"/>
          <a:ext cx="68484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12</xdr:col>
      <xdr:colOff>342900</xdr:colOff>
      <xdr:row>433</xdr:row>
      <xdr:rowOff>152400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3342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12</xdr:col>
      <xdr:colOff>333375</xdr:colOff>
      <xdr:row>487</xdr:row>
      <xdr:rowOff>152400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629500"/>
          <a:ext cx="68294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12</xdr:col>
      <xdr:colOff>342900</xdr:colOff>
      <xdr:row>541</xdr:row>
      <xdr:rowOff>152400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3916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12</xdr:col>
      <xdr:colOff>333375</xdr:colOff>
      <xdr:row>55</xdr:row>
      <xdr:rowOff>152400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333500"/>
          <a:ext cx="68294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342900</xdr:colOff>
      <xdr:row>109</xdr:row>
      <xdr:rowOff>152400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0000000-0008-0000-09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1620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12</xdr:col>
      <xdr:colOff>333375</xdr:colOff>
      <xdr:row>163</xdr:row>
      <xdr:rowOff>152400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1907500"/>
          <a:ext cx="68294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12</xdr:col>
      <xdr:colOff>352425</xdr:colOff>
      <xdr:row>217</xdr:row>
      <xdr:rowOff>152400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2194500"/>
          <a:ext cx="68484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12</xdr:col>
      <xdr:colOff>342900</xdr:colOff>
      <xdr:row>271</xdr:row>
      <xdr:rowOff>152400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42481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12</xdr:col>
      <xdr:colOff>342900</xdr:colOff>
      <xdr:row>325</xdr:row>
      <xdr:rowOff>152400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2768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12</xdr:col>
      <xdr:colOff>352425</xdr:colOff>
      <xdr:row>379</xdr:row>
      <xdr:rowOff>152400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3055500"/>
          <a:ext cx="68484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12</xdr:col>
      <xdr:colOff>342900</xdr:colOff>
      <xdr:row>433</xdr:row>
      <xdr:rowOff>152400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3342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12</xdr:col>
      <xdr:colOff>333375</xdr:colOff>
      <xdr:row>487</xdr:row>
      <xdr:rowOff>152400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3629500"/>
          <a:ext cx="682942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12</xdr:col>
      <xdr:colOff>342900</xdr:colOff>
      <xdr:row>541</xdr:row>
      <xdr:rowOff>152400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93916500"/>
          <a:ext cx="6838950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66675</xdr:rowOff>
    </xdr:from>
    <xdr:to>
      <xdr:col>16</xdr:col>
      <xdr:colOff>590550</xdr:colOff>
      <xdr:row>37</xdr:row>
      <xdr:rowOff>123825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0975" y="2371725"/>
          <a:ext cx="8420100" cy="3781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 (come definita dalle DTU Regionali e atti Comunali)</a:t>
          </a: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sulla quale applicare gli oneri è:</a:t>
          </a: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Superficie Utile (SU)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la funzione residenziale Uf, direzionale Ud, artigianato di servizio alla casa e alla persona Uge, commerciale al dettaglio Ug-Ue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Superficie Lorda (SL)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la funzione produttiva Uc, commercio all'ingrosso Ucd, turistico ricettiva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Uh, rurale Ua-Ub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Volume utile/6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la funzione produttiva e commerciale, limitatamente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depositi in strutture a maggior sviluppo verticali ovvero aventi intradosso &gt; 6 m (es. silos, magazzini verticali, ecc.).</a:t>
          </a:r>
        </a:p>
        <a:p>
          <a:pPr algn="l"/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Area dell'insediamento all'aperto (AI)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funzioni svolte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all'aperto. Per la tariffa da utilizzare consultare 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Delibera di CC n. 69 del 30.09.2019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oppure foglio 2 "Tabella parametrica".</a:t>
          </a:r>
        </a:p>
        <a:p>
          <a:pPr algn="l"/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</a:t>
          </a: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tariffa da applicare è riportata nella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Tabella Parametrica di U1/U2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 varia in funzione di: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Funzione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ovvero 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destinazione d'uso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da individuare tra quelle di cui al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Capo 3 del RUE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(Es: Ufa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abitazioni, Ugb per bar/ristoranti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Localizzazione rispetto al Territorio Urbanizzato T.U.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consultabile sul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interattivo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 alla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"Territorio urbanizzato, urbanizzabile e rurale"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PSC 2030 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(T.U. = aree di colore rosso).</a:t>
          </a:r>
          <a:endParaRPr lang="it-IT" sz="800">
            <a:effectLst/>
          </a:endParaRP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Tipologia d'intervento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ovvero nuova costruzione,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ristrutturazione edilizia con o senza aumento di carico urbanistico.</a:t>
          </a:r>
        </a:p>
        <a:p>
          <a:endParaRPr lang="it-IT" sz="800">
            <a:effectLst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Scomputo non applicabile ai titoli in sanatoria (vedasi parere Regione ER Prot. 463126 del 24 giugno 2020).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%V  (A x B x C x D) </a:t>
          </a: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</a:t>
          </a:r>
          <a:endParaRPr lang="it-IT" sz="800">
            <a:effectLst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variabile per le casistiche previste nella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DCC n. 69/2019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cumulabili con moltiplicazione progressiva fino ad un massimo del 70% (quindi, al massimo, moltiplicare x 0,3)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Se non si ha diritto a nessuno scomputo variabile inserire il valore 1. Se si ha diritto allo scomputo del 15% da REN e del 20% da convenzione inserire il valore 0,68 (dato da: 0,85 x 0,80).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Residenze per anziani, strutture socio-assistenziali-sanitarie ed educative: Scomputo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U2 del 50% (0,5)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Edilizia residenziale sociale (ERS) e edilizia convenzionata: Scomputo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U1 e U2 del 20% (0,8)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Tettoie destinate a depositi di materie prime, semilavorati e prodotti finiti connesse ad attività produttive: Scomputo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U1 e U2 del 30% (0,7)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Incentivi energetici come da REN Regolamento Energetico Allegato C1 al RUE vigente, con la precisazione che per gli edifici esistenti è possibile scomputare al massimo il 50% di U2, quindi:</a:t>
          </a:r>
          <a:endParaRPr lang="it-IT" sz="800">
            <a:effectLst/>
          </a:endParaRPr>
        </a:p>
        <a:p>
          <a:r>
            <a:rPr lang="it-IT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Nuovi edifici (inclusa demolizione e ricostruzione):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Scomputo di </a:t>
          </a: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U2 del 15% (0,85) o del 30% (0,7)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requisiti prestazionali di cui all'art. 5.1 del Regolamento energetico</a:t>
          </a:r>
          <a:endParaRPr lang="it-IT" sz="800">
            <a:effectLst/>
          </a:endParaRPr>
        </a:p>
        <a:p>
          <a:pPr eaLnBrk="1" fontAlgn="auto" latinLnBrk="0" hangingPunct="1"/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it-IT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 esistenti: 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di </a:t>
          </a: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U2 del 50% (0,5)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requisiti prestazionali di cui all'art. 5.2 del Regolamento Energetico</a:t>
          </a:r>
          <a:endParaRPr lang="it-IT" sz="800">
            <a:effectLst/>
          </a:endParaRPr>
        </a:p>
        <a:p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28575</xdr:colOff>
      <xdr:row>51</xdr:row>
      <xdr:rowOff>9526</xdr:rowOff>
    </xdr:from>
    <xdr:to>
      <xdr:col>16</xdr:col>
      <xdr:colOff>590550</xdr:colOff>
      <xdr:row>74</xdr:row>
      <xdr:rowOff>123827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180975" y="8753476"/>
          <a:ext cx="8420100" cy="3914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Contributi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 ed S sono dovuti esclusivamente per la funzione produttiva e rurale (quest'ultima svolta da non avente titolo, no IAP).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 dovuto D è dovuto anche</a:t>
          </a:r>
          <a:r>
            <a:rPr lang="it-IT" sz="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S.</a:t>
          </a:r>
          <a:endParaRPr lang="it-IT" sz="800">
            <a:solidFill>
              <a:srgbClr val="FF0000"/>
            </a:solidFill>
            <a:effectLst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Lorda (definita dalle DTU Regionali) oggetto di nuova costruzione, ampliamento o di ristrutturazione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 uso produttivo e/o rurale svolto da non avente titolo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Td, Ts</a:t>
          </a: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Tariffe base di disinquinamento 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di sistemazione.</a:t>
          </a: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attività Produttive/Rurali svolte all'aperto soggette a oneri sul parametro "AI" (Area d'insediamento all'aperto) sono dovuti i Contributi D-S con le relative tariffe.</a:t>
          </a:r>
        </a:p>
        <a:p>
          <a:endParaRPr lang="it-IT" sz="800">
            <a:effectLst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Kd, Ks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 è il coefficiente di disinquinamento connesso al tipo di attività,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assume i seguenti valori: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 = 1,5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le attività industriali comprese nell'elenco di cui alla Parte I, lettera c, del D.M. 5 settembre 1994 "Elenco industrie insalubri di cui all'art. 126 del Testo Unico delle Leggi Sanitarie"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 = 1,0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tutte le altre attività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è il coefficiente di impatto connesso al tipo di intervento, che assume i seguenti valori: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= 1,5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tutti gli interventi che prevedono un incremento delle superfici impermeabilizzate del suolo rispetto allo stato di fatto o modifiche planovolumetriche del terreno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= 0,5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gli interventi che prevedono quote di desigillazione e riduzione della superficie impermeabile del suolo rispetto allo stato di fatto superiore al 20% della Superficie Fondiaria SF.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 = 1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nei restanti casi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(4)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Scomputo fisso del 35% previsto solo per interventi per interventi di ristrutturazione urbanistica ed edilizia, addensamento o sostituzione urbana, e per interventi di recupero o riuso di immobili dismessi o in via di dismissione da eseguirsi su edifici localizzati all'interno del Territorio Urbanizzato T.U. 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consultabile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"Territorio urbanizzato, urbanizzabile e rurale"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PSC 2030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(Territorio urbanizzato: aree di colore rosso). </a:t>
          </a:r>
          <a:r>
            <a:rPr lang="it-IT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La riduzione non si applica ai titoli in sanatoria (vedasi parere Regione ER Prot. 463126 del 24 giugno 2020).</a:t>
          </a:r>
        </a:p>
        <a:p>
          <a:pPr eaLnBrk="1" fontAlgn="auto" latinLnBrk="0" hangingPunct="1"/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it-IT" sz="800">
            <a:effectLst/>
          </a:endParaRPr>
        </a:p>
      </xdr:txBody>
    </xdr:sp>
    <xdr:clientData/>
  </xdr:twoCellAnchor>
  <xdr:twoCellAnchor>
    <xdr:from>
      <xdr:col>1</xdr:col>
      <xdr:colOff>47625</xdr:colOff>
      <xdr:row>90</xdr:row>
      <xdr:rowOff>118241</xdr:rowOff>
    </xdr:from>
    <xdr:to>
      <xdr:col>16</xdr:col>
      <xdr:colOff>561975</xdr:colOff>
      <xdr:row>111</xdr:row>
      <xdr:rowOff>123826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198711" y="15745810"/>
          <a:ext cx="8377402" cy="3552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L'unità di superficie per la determinazione del Costo di Costruzione (QCC) è la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Complessiva (SC=SU+0,6xSA)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 cui alle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DTU "definizioni tecniche uniformi" 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allegate alla DGR 922/2017.</a:t>
          </a:r>
        </a:p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convenzionale A 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deve essere determinato a partire dai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OMI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disponibili sul sito dell'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Agenzia delle Entrate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con l'ausilio della piattaforma telematica </a:t>
          </a:r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"Geopoi"</a:t>
          </a:r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/>
          <a:endParaRPr lang="it-IT" sz="8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FUNZIONE DI PROGETTO RESIDENZIALE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QCC(A)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nuova costruzione (inclusa la ristrutturazione edilizia da attuarsi con demolizione e ricostruzione)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QCC(B)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su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 esistenti 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QCC(A.bis)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cambio d'uso senza opere con aumento di carico urbanistico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verso la funzione residenziale</a:t>
          </a:r>
        </a:p>
        <a:p>
          <a:endParaRPr lang="it-IT" sz="800">
            <a:effectLst/>
          </a:endParaRPr>
        </a:p>
        <a:p>
          <a:r>
            <a:rPr lang="it-IT" sz="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FUNZIONE DI PROGETTO NON RESIDENZIALE (escluso produttivo e rurale)</a:t>
          </a:r>
          <a:endParaRPr lang="it-IT" sz="800">
            <a:effectLst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QCC(C) =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nuova costruzione (inclusa la ristrutturazione edilizia da attuarsi con demolizione e ricostruzione)</a:t>
          </a: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QCC(D) =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di costruzione per interventi su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edifici esistenti</a:t>
          </a:r>
          <a:endParaRPr lang="it-IT" sz="800">
            <a:effectLst/>
          </a:endParaRPr>
        </a:p>
        <a:p>
          <a:pPr eaLnBrk="1" fontAlgn="auto" latinLnBrk="0" hangingPunct="1"/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QCC(C.bis)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cambio d'uso senza opere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aumento di carico urbanistico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verso 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residenziale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partire dalla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residenziale</a:t>
          </a:r>
          <a:endParaRPr lang="it-IT" sz="800" b="1">
            <a:effectLst/>
          </a:endParaRPr>
        </a:p>
        <a:p>
          <a:pPr eaLnBrk="1" fontAlgn="auto" latinLnBrk="0" hangingPunct="1"/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QCC(C.ter)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Costo di costruzione per interventi di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cambio d'uso senza opere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aumento di carico urbanistico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verso 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residenziale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 partire dalla funzione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residenziale</a:t>
          </a:r>
          <a:endParaRPr lang="it-IT" sz="800" b="1">
            <a:effectLst/>
          </a:endParaRPr>
        </a:p>
        <a:p>
          <a:pPr algn="l"/>
          <a:endParaRPr lang="it-IT" sz="8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Costo di Costruzione (QCC) è dovuto:</a:t>
          </a:r>
          <a:endParaRPr lang="it-IT" sz="800">
            <a:effectLst/>
          </a:endParaRPr>
        </a:p>
        <a:p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Per interventi di nuova costruzione e ristrutturazione (il cambio d'uso con opere equivale a ristrutturazione).</a:t>
          </a:r>
        </a:p>
        <a:p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Per cambi d'uso senza opere con aumento di CU carico urbanistico. In questi casi il costo convenzionale A è dato dalla differenza della media valori OMI tra funzione di progetto e funzione dello stato di fatto, moltiplicata x 0,475. Le schede (fogli di calcolo) da utilizzare per la determinazione del contributo nel caso di cambio d'uso senza opere sono: QCC(A.bis), QCC(C.bis), QCC(C.ter).</a:t>
          </a:r>
        </a:p>
        <a:p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Per interventi di restauro scientifico (RS), restauro e risanamento conservativo (RRC), che prevedano il cambio d'uso con aumento del carico urbanistico CU. In tali casi si applica la QCC dovuta per i cambi d'uso senza opere di cui al punto precedente.</a:t>
          </a:r>
          <a:endParaRPr lang="it-IT" sz="800">
            <a:effectLst/>
          </a:endParaRPr>
        </a:p>
        <a:p>
          <a:pPr algn="l"/>
          <a:endParaRPr lang="it-IT" sz="8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Costo di Costruzione (QCC) non è dovuto: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Per la funzione produttiva e rurale, dove trovano applicazione i contributi D e S.</a:t>
          </a:r>
          <a:endParaRPr lang="it-IT" sz="800">
            <a:effectLst/>
          </a:endParaRPr>
        </a:p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Per restauro scientifico (RS), restauro e risanamento conservativo (RRC) e manutenzione straordinaria (MS), solo nel caso in cui l'aumento di CU derivi da un aumento della superficie calpestabile.</a:t>
          </a:r>
        </a:p>
        <a:p>
          <a:pPr algn="l"/>
          <a:r>
            <a:rPr lang="it-IT" sz="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 interventi di Edilizia Residenziale Sociale (ERS) compresa l'edilizia convenzionata, anche su edifici esistenti (convenzione valida solo per la funzione residenziale).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800">
            <a:effectLst/>
          </a:endParaRPr>
        </a:p>
        <a:p>
          <a:pPr algn="l"/>
          <a:endParaRPr lang="it-IT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43962</xdr:colOff>
      <xdr:row>126</xdr:row>
      <xdr:rowOff>137809</xdr:rowOff>
    </xdr:from>
    <xdr:to>
      <xdr:col>16</xdr:col>
      <xdr:colOff>578827</xdr:colOff>
      <xdr:row>149</xdr:row>
      <xdr:rowOff>114301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197983" y="21725107"/>
          <a:ext cx="8389950" cy="35838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monetizzazione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ammessa in luogo della realizzazione e cessione delle dotazioni territoriali nei limiti e alle condizioni di cui all'art. 2.4.5 del RUE vigente.</a:t>
          </a:r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sulla quale calcolare le dotazioni territoriali (art. 2.3.4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vigente: SL,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Sf, St, Sv, V, Sc) a seconda della destinazione d'uso di cui al Capo 3 del RUE e tipologia della dotazione stessa.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Nei Centri Storici, la superficie di riferimento per il calcolo delle dotazioni territoriali è la SU (anzichè la SL),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vedasi art. 3.2.2 comma 5 RUE vigente.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Standard</a:t>
          </a:r>
          <a:endParaRPr lang="it-IT" sz="800">
            <a:effectLst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da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reperire al Capo 3 "Usi del suolo e standard" del RUE vigente</a:t>
          </a: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Esempio1: per intervento diretto di nuova costruzione ad uso abitativo (Ufa), lo standard dovuto corrisponde a 1,5mq/10mq per il parcheggio pubblico (scrivere 0,15)</a:t>
          </a: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Esempio2: per ampliamento di 100 mq di SL su attività produttiva ad uso "Uc" avente standard di parcheggio pubblico 5mq/100mq di Sf, in zona ZP3 con indice Uf 0,6, considero: Sf=SL/Uf=100/0,6=166,67mq. Nel modello dovrò quindi inserire la tipologia di superficie "Sf" con estensione 166,67 mq e lo standard di 0,05 (cioè 5mq/100mq).</a:t>
          </a:r>
        </a:p>
        <a:p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 per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monetizzazione delle dotazioni territoriali (valore area €/mq)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Storica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€ 500 </a:t>
          </a: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Intermedia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€ 200</a:t>
          </a: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Esterna/Periferica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€ 30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 baseline="0">
            <a:effectLst/>
          </a:endParaRPr>
        </a:p>
        <a:p>
          <a:r>
            <a:rPr lang="it-IT" sz="800" b="1" baseline="0">
              <a:effectLst/>
            </a:rPr>
            <a:t>- Zona Storica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all’interno della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“Città Storica”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le aree denominate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“Ex Mura”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limitatamente a quelle ricomprese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nell’anello dei viali di circonvallazione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Zona Intermedia: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nel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Territorio Urbanizzato e Urbanizzabile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definito e cartografato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del PSC2030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Zona Esterna/Periferica: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aree ricadenti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Territorio Rurale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definito e cartografato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del PSC2030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Tariffa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monetizzazione parcheggio privato: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soggetta ad aggiornamento ISTAT annuale, è consultabile sul sito del Comune di Parma (Sezione Oneri).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</a:p>
        <a:p>
          <a:r>
            <a:rPr lang="it-IT" sz="800" i="1">
              <a:effectLst/>
            </a:rPr>
            <a:t>1. La monetizzazione delle 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dotazioni territoriali riguarda solo il </a:t>
          </a:r>
          <a:r>
            <a:rPr lang="it-IT" sz="800" i="1">
              <a:effectLst/>
            </a:rPr>
            <a:t>valore dell'area non ceduta e pertanto non comporta alcuno scomputo sul contributo di costruzione (U1-U2-D-S).</a:t>
          </a:r>
        </a:p>
        <a:p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La realizzazione e cessione delle dotazioni territoriali comporta lo scomputo del contributo di costruzione previsto per la tipologia di opere realizzate (U1-U2-D-S).</a:t>
          </a:r>
        </a:p>
        <a:p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La quota sul Costo di Costruzione (QCC) è sempre esclusa dallo scomputo.</a:t>
          </a:r>
        </a:p>
        <a:p>
          <a:endParaRPr lang="it-IT" sz="800" i="1">
            <a:effectLst/>
          </a:endParaRPr>
        </a:p>
      </xdr:txBody>
    </xdr:sp>
    <xdr:clientData/>
  </xdr:twoCellAnchor>
  <xdr:twoCellAnchor>
    <xdr:from>
      <xdr:col>29</xdr:col>
      <xdr:colOff>47625</xdr:colOff>
      <xdr:row>133</xdr:row>
      <xdr:rowOff>0</xdr:rowOff>
    </xdr:from>
    <xdr:to>
      <xdr:col>32</xdr:col>
      <xdr:colOff>571500</xdr:colOff>
      <xdr:row>149</xdr:row>
      <xdr:rowOff>131884</xdr:rowOff>
    </xdr:to>
    <xdr:sp macro="" textlink="">
      <xdr:nvSpPr>
        <xdr:cNvPr id="22" name="CasellaDiTesto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14325600" y="22269450"/>
          <a:ext cx="2733675" cy="2817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 Normalmente la monetizzazione del parcheggio privato non è ammessae, quindi, i parcheggi devono essere reperiti fisicamente.</a:t>
          </a:r>
          <a:r>
            <a:rPr lang="it-IT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casi eccezionali, quali il recupero ai fini abitativi di sottotetti esistenti, è ammessa la monetizzazione</a:t>
          </a: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qualora sia dimostrata l'impossibilità di realizzare i parcheggi pertinenziali per mancata disponibilità di spazi idonei. </a:t>
          </a:r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 Verificare con la S.O. Verifica Conformità Interventi Edilizi.</a:t>
          </a:r>
          <a:endParaRPr lang="it-IT" sz="900">
            <a:solidFill>
              <a:srgbClr val="FF0000"/>
            </a:solidFill>
            <a:effectLst/>
          </a:endParaRPr>
        </a:p>
        <a:p>
          <a:endParaRPr lang="it-IT" sz="9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Lo standard </a:t>
          </a: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 parcheggio privato da reperire o monetizzare, in funzione della destinazione d'uso dell'immobile, è consultabile al Capo 3 " Usi del suolo e Standard" del RUE vigente. </a:t>
          </a:r>
          <a:r>
            <a:rPr lang="it-IT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Es: per uso abitativo Ufa lo standard è pari a 0,3.</a:t>
          </a:r>
          <a:endParaRPr lang="it-IT" sz="900" b="1">
            <a:effectLst/>
          </a:endParaRPr>
        </a:p>
        <a:p>
          <a:endParaRPr lang="it-IT" sz="9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Per la tariffa, </a:t>
          </a:r>
          <a:r>
            <a:rPr lang="it-IT" sz="9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consultare le determine sul sito del Comune di Parma (Sezione Oneri).</a:t>
          </a:r>
        </a:p>
        <a:p>
          <a:r>
            <a:rPr lang="it-IT" sz="9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Per l'anno 2025 la tariffa è pari a €/mq 145,69</a:t>
          </a:r>
          <a:endParaRPr lang="it-IT" sz="7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41413</xdr:colOff>
      <xdr:row>241</xdr:row>
      <xdr:rowOff>68408</xdr:rowOff>
    </xdr:from>
    <xdr:to>
      <xdr:col>16</xdr:col>
      <xdr:colOff>576278</xdr:colOff>
      <xdr:row>248</xdr:row>
      <xdr:rowOff>113313</xdr:rowOff>
    </xdr:to>
    <xdr:sp macro="" textlink="">
      <xdr:nvSpPr>
        <xdr:cNvPr id="24" name="CasellaDiTesto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197277" y="40930658"/>
          <a:ext cx="8405978" cy="12744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Oblazione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deve essere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versata entro (e non oltre) 30 giorni dalla data di rilascio del Permesso di Costruire in sanatoria.</a:t>
          </a:r>
          <a:endParaRPr lang="it-IT" sz="800">
            <a:effectLst/>
          </a:endParaRP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importi superiori a € 5.000 è altresì ammessa la seguente rateizzazione:</a:t>
          </a:r>
          <a:endParaRPr lang="it-IT" sz="800">
            <a:effectLst/>
          </a:endParaRPr>
        </a:p>
        <a:p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1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50%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dell'importo complessivo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 Fidejussione importi residui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da corrispondere entro 30 gg dal rilascio del Permesso di Costruire</a:t>
          </a:r>
          <a:endParaRPr lang="it-IT" sz="800">
            <a:effectLst/>
          </a:endParaRPr>
        </a:p>
        <a:p>
          <a:pPr eaLnBrk="1" fontAlgn="auto" latinLnBrk="0" hangingPunct="1"/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2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25% 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dell'importo complessivo, da corrispondere entro 9 mesi dal momento dal rilascio del Permesso di Costruire</a:t>
          </a:r>
          <a:endParaRPr lang="it-IT" sz="800">
            <a:effectLst/>
          </a:endParaRPr>
        </a:p>
        <a:p>
          <a:pPr eaLnBrk="1" fontAlgn="auto" latinLnBrk="0" hangingPunct="1"/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3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25%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dell'importo complessivo, da corrispondere entro 18 mesi dal momento dal rilascio del Permesso di Costruire</a:t>
          </a:r>
          <a:endParaRPr lang="it-IT" sz="800">
            <a:effectLst/>
          </a:endParaRP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rateizzazione è subordinata alla presentazione di garanzie reali o personali per gli importi residui (Rata n. 2 + Rata n. 3 = 50% dell'importo complessivo):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fideiussione bancaria o assicurativa *</a:t>
          </a:r>
          <a:endParaRPr lang="it-IT" sz="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caso di ritardato pagamento rispetto alle scadenze fissate dell’oblazione quantificata in misura pari o doppia al contributo di costruzione (U1, U2, COSTO DI COSTRUZIONE, CONTRIBUTO D+S), si applicheranno le maggiorazioni di cui all’art. 20 della L.R. n.23/2004. In caso di ritardato pagamento rispetto alle scadenze fissate delle somme dovute a titolo di monetizzazione parcheggi, si applicheranno gli interessi legali. Il Contributo Città Pubblica non può essere rateizzato e deve essere versato in unica soluzione ai sensi della Determina Dirigenziale n. 2383/2020.</a:t>
          </a:r>
        </a:p>
        <a:p>
          <a:endParaRPr lang="it-IT" sz="800">
            <a:effectLst/>
          </a:endParaRPr>
        </a:p>
      </xdr:txBody>
    </xdr:sp>
    <xdr:clientData/>
  </xdr:twoCellAnchor>
  <xdr:twoCellAnchor>
    <xdr:from>
      <xdr:col>11</xdr:col>
      <xdr:colOff>24849</xdr:colOff>
      <xdr:row>215</xdr:row>
      <xdr:rowOff>85309</xdr:rowOff>
    </xdr:from>
    <xdr:to>
      <xdr:col>16</xdr:col>
      <xdr:colOff>538371</xdr:colOff>
      <xdr:row>237</xdr:row>
      <xdr:rowOff>7909</xdr:rowOff>
    </xdr:to>
    <xdr:sp macro="" textlink="">
      <xdr:nvSpPr>
        <xdr:cNvPr id="25" name="CasellaDiTesto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4744054" y="36548741"/>
          <a:ext cx="3821294" cy="3671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1" baseline="0">
              <a:effectLst/>
            </a:rPr>
            <a:t>* Caratteristiche delle garanzie da fornire in caso di rateizzazione:</a:t>
          </a:r>
        </a:p>
        <a:p>
          <a:endParaRPr lang="it-IT" sz="800" b="1" i="1" baseline="0">
            <a:effectLst/>
          </a:endParaRPr>
        </a:p>
        <a:p>
          <a:pPr lvl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ordine all’ambito soggettivo</a:t>
          </a:r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A.1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fidejussione può essere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bancaria o assicurativa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(in tal caso contratta con compagnie in possesso dei requisiti di cui alla legge n. 348/1982 e ss.mm., previsti per la costituzione di cauzioni a garanzia di obbligazioni verso lo Stato ed altri enti pubblici, ed in particolare iscritte nell’elenco speciale di cui all’art. 107 del testo unico delle leggi in materia bancaria e creditizia di cui al d.lgs. n. 385/1993 come successivamente modificata); 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A.2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caso di compagnie assicurative con sede legale all’estero deve trattarsi di impresa ammessa ad operare in Italia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esclusivamente in regime di stabilimento 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come risultante dagli appositi elenchi dell’IVASS (Istituto di Vigilanza sulle Assicurazioni);</a:t>
          </a:r>
        </a:p>
        <a:p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ordine al contenuto </a:t>
          </a:r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B.1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soddisfare l'obbligazione assunta entro quindici giorni a semplice richiesta da parte del Comune con rinuncia di ogni eventuale eccezione, con esclusione del beneficio di cui all'art. 1944 del Codice Civile e con rinuncia ad avvalersi di quanto previsto all’art. 1957  del Codice Civile;</a:t>
          </a:r>
          <a:endParaRPr lang="it-IT" sz="800">
            <a:effectLst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B.2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prevedere la possibilità di parziale escussione da parte del Comune, in proporzione all’entità delle inadempienze verificatesi;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B.3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rimanere valide ed operanti fino al completo assolvimento delle obbligazioni assunte con estinzione o riduzione assoggettata ad espressa dichiarazione liberatoria (o restituzione del documento originale) da parte del beneficiario (Comune garantito);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B.4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esplicitamente prevedere che il mancato pagamento di supplementi di premio/commissione da parte dell’obbligato principale non potrà essere opposto, in nessun caso, al beneficiario;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B.5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prevedere che il foro competente, nel caso di controversie, sarà esclusivamente quello dell’autorità giudiziaria del luogo dove ha sede l’ente garantito.</a:t>
          </a:r>
          <a:endParaRPr lang="it-IT" sz="800" i="1" baseline="0">
            <a:effectLst/>
          </a:endParaRPr>
        </a:p>
        <a:p>
          <a:endParaRPr lang="it-IT" sz="800" i="1" baseline="0">
            <a:effectLst/>
          </a:endParaRPr>
        </a:p>
        <a:p>
          <a:endParaRPr lang="it-IT" sz="800" i="1" baseline="0">
            <a:effectLst/>
          </a:endParaRPr>
        </a:p>
      </xdr:txBody>
    </xdr:sp>
    <xdr:clientData/>
  </xdr:twoCellAnchor>
  <xdr:twoCellAnchor>
    <xdr:from>
      <xdr:col>15</xdr:col>
      <xdr:colOff>0</xdr:colOff>
      <xdr:row>8</xdr:row>
      <xdr:rowOff>171450</xdr:rowOff>
    </xdr:from>
    <xdr:to>
      <xdr:col>16</xdr:col>
      <xdr:colOff>77390</xdr:colOff>
      <xdr:row>11</xdr:row>
      <xdr:rowOff>10715</xdr:rowOff>
    </xdr:to>
    <xdr:sp macro="" textlink="">
      <xdr:nvSpPr>
        <xdr:cNvPr id="30" name="CasellaDiTesto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/>
      </xdr:nvSpPr>
      <xdr:spPr>
        <a:xfrm>
          <a:off x="7029450" y="1533525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15</xdr:col>
      <xdr:colOff>28575</xdr:colOff>
      <xdr:row>5</xdr:row>
      <xdr:rowOff>76200</xdr:rowOff>
    </xdr:from>
    <xdr:to>
      <xdr:col>16</xdr:col>
      <xdr:colOff>57151</xdr:colOff>
      <xdr:row>8</xdr:row>
      <xdr:rowOff>85725</xdr:rowOff>
    </xdr:to>
    <xdr:sp macro="" textlink="">
      <xdr:nvSpPr>
        <xdr:cNvPr id="37" name="CasellaDiTesto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/>
      </xdr:nvSpPr>
      <xdr:spPr>
        <a:xfrm>
          <a:off x="7058025" y="923925"/>
          <a:ext cx="1009651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/>
            <a:t>RUE</a:t>
          </a:r>
          <a:r>
            <a:rPr lang="it-IT" sz="900" b="1" baseline="0"/>
            <a:t> Cartografico interattivo</a:t>
          </a:r>
        </a:p>
        <a:p>
          <a:r>
            <a:rPr lang="it-IT" sz="800" baseline="0"/>
            <a:t>(clicca per aprire)</a:t>
          </a:r>
          <a:endParaRPr lang="it-IT" sz="800"/>
        </a:p>
      </xdr:txBody>
    </xdr:sp>
    <xdr:clientData/>
  </xdr:twoCellAnchor>
  <xdr:twoCellAnchor>
    <xdr:from>
      <xdr:col>15</xdr:col>
      <xdr:colOff>0</xdr:colOff>
      <xdr:row>11</xdr:row>
      <xdr:rowOff>114300</xdr:rowOff>
    </xdr:from>
    <xdr:to>
      <xdr:col>16</xdr:col>
      <xdr:colOff>77390</xdr:colOff>
      <xdr:row>13</xdr:row>
      <xdr:rowOff>134540</xdr:rowOff>
    </xdr:to>
    <xdr:sp macro="" textlink="">
      <xdr:nvSpPr>
        <xdr:cNvPr id="38" name="CasellaDiTesto 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/>
      </xdr:nvSpPr>
      <xdr:spPr>
        <a:xfrm>
          <a:off x="7029450" y="2009775"/>
          <a:ext cx="1058465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Guida calcolo U1 U2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13</xdr:col>
      <xdr:colOff>933450</xdr:colOff>
      <xdr:row>45</xdr:row>
      <xdr:rowOff>114300</xdr:rowOff>
    </xdr:from>
    <xdr:to>
      <xdr:col>16</xdr:col>
      <xdr:colOff>0</xdr:colOff>
      <xdr:row>48</xdr:row>
      <xdr:rowOff>47625</xdr:rowOff>
    </xdr:to>
    <xdr:sp macro="" textlink="">
      <xdr:nvSpPr>
        <xdr:cNvPr id="39" name="CasellaDiTesto 3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/>
      </xdr:nvSpPr>
      <xdr:spPr>
        <a:xfrm>
          <a:off x="6734175" y="7658100"/>
          <a:ext cx="1276350" cy="4667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Guida calcolo D ed S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14</xdr:col>
      <xdr:colOff>47625</xdr:colOff>
      <xdr:row>83</xdr:row>
      <xdr:rowOff>38100</xdr:rowOff>
    </xdr:from>
    <xdr:to>
      <xdr:col>16</xdr:col>
      <xdr:colOff>95250</xdr:colOff>
      <xdr:row>87</xdr:row>
      <xdr:rowOff>95250</xdr:rowOff>
    </xdr:to>
    <xdr:sp macro="" textlink="">
      <xdr:nvSpPr>
        <xdr:cNvPr id="40" name="CasellaDiTesto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/>
      </xdr:nvSpPr>
      <xdr:spPr>
        <a:xfrm>
          <a:off x="6829425" y="13944600"/>
          <a:ext cx="1276350" cy="7429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Guida calcolo QCC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</xdr:col>
      <xdr:colOff>47625</xdr:colOff>
      <xdr:row>162</xdr:row>
      <xdr:rowOff>104775</xdr:rowOff>
    </xdr:from>
    <xdr:to>
      <xdr:col>16</xdr:col>
      <xdr:colOff>582490</xdr:colOff>
      <xdr:row>173</xdr:row>
      <xdr:rowOff>123825</xdr:rowOff>
    </xdr:to>
    <xdr:sp macro="" textlink="">
      <xdr:nvSpPr>
        <xdr:cNvPr id="29" name="CasellaDiTesto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/>
      </xdr:nvSpPr>
      <xdr:spPr>
        <a:xfrm>
          <a:off x="200025" y="27212925"/>
          <a:ext cx="8392990" cy="1800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monetizzazione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ammessa in luogo della realizzazione e cessione delle dotazioni territoriali nei limiti e alle condizioni di cui all'art. 2.4.5 del RUE vigente.</a:t>
          </a:r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sulla quale calcolare le dotazioni territoriali (art. 2.3.4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vigente: SL,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Sf, St, Sv, V, Sc) a seconda della destinazione d'uso di cui al Capo 3 del RUE e tipologia della dotazione stessa.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Standard</a:t>
          </a:r>
          <a:endParaRPr lang="it-IT" sz="800">
            <a:effectLst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da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reperire al Capo 3 "Usi del suolo e standard" del RUE vigente</a:t>
          </a:r>
        </a:p>
        <a:p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 per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monetizzazione delle dotazioni territoriali (valore area €/mq)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Storica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€ 500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all’interno della “Città Storica” e le aree denominate “Ex Mura” limitatamente a quelle ricomprese nell’anello dei viali di circonvallazione).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Intermedia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€ 200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(aree 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comprese nel Territorio Urbanizzato e Urbanizzabile, definito e cartografato alla Tav. CTP 3 del PSC2030).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Esterna/Periferica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€ 30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ricadenti nel Territorio Rurale, definito e cartografato alla Tav. CTP 3 del PSC2030).</a:t>
          </a: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41678</xdr:colOff>
      <xdr:row>231</xdr:row>
      <xdr:rowOff>23815</xdr:rowOff>
    </xdr:from>
    <xdr:to>
      <xdr:col>10</xdr:col>
      <xdr:colOff>91683</xdr:colOff>
      <xdr:row>241</xdr:row>
      <xdr:rowOff>2384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/>
      </xdr:nvSpPr>
      <xdr:spPr>
        <a:xfrm>
          <a:off x="196459" y="38677456"/>
          <a:ext cx="4360068" cy="16156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0" baseline="0">
              <a:effectLst/>
            </a:rPr>
            <a:t>Presentezione:</a:t>
          </a:r>
          <a:r>
            <a:rPr lang="it-IT" sz="800" b="0" i="0" baseline="0">
              <a:effectLst/>
            </a:rPr>
            <a:t> nella sezione pagamenti C-Portal valorizzare/compilare i campi degli importi autocalcolati/dovuti. Il servizio online permetterà di generare l'avviso di pagamento PagoPA o di pagare direttamente l'importo dovuto.</a:t>
          </a:r>
        </a:p>
        <a:p>
          <a:r>
            <a:rPr lang="it-IT" sz="800" b="1" i="0" baseline="0">
              <a:effectLst/>
            </a:rPr>
            <a:t>Integrazione oneri pratiche edilizie presentate entro il 24/11/2024 tramite C-Portal:</a:t>
          </a:r>
          <a:r>
            <a:rPr lang="it-IT" sz="800" b="0" i="0" baseline="0">
              <a:effectLst/>
            </a:rPr>
            <a:t> entrare in C-Portal https://servizisuei.comune.parma.it, pratiche presentate, integrazione pratiche edilizie, presenta istanza, compilare dati richiesti, nella sezione oneri indicare natura/tipologa del contributo e importo dello stesso, entrare in pagamenti e selezionare la modalità, procedere al pagamento.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Integrazione oneri pratiche edilizie presentate dal 25/11/2024 tramite C-Portal: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entrare in C-Portal https://servizisuei.comune.parma.it, la mia scrivania, individuare la pratica da integrare, azioni, integrazione spontanea, compilare dati richiesti, nella sezione oneri indicare natura/tipologa del contributo e importo dello stesso, entrare in pagamenti e selezionare la modalità, procedere al pagamento.</a:t>
          </a:r>
          <a:endParaRPr lang="it-IT" sz="800">
            <a:effectLst/>
          </a:endParaRPr>
        </a:p>
        <a:p>
          <a:endParaRPr lang="it-IT" sz="800" b="0" i="0" baseline="0">
            <a:effectLst/>
          </a:endParaRPr>
        </a:p>
        <a:p>
          <a:endParaRPr lang="it-IT" sz="800" b="0" i="0" baseline="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67</xdr:row>
      <xdr:rowOff>161925</xdr:rowOff>
    </xdr:from>
    <xdr:to>
      <xdr:col>4</xdr:col>
      <xdr:colOff>438150</xdr:colOff>
      <xdr:row>67</xdr:row>
      <xdr:rowOff>161925</xdr:rowOff>
    </xdr:to>
    <xdr:cxnSp macro="">
      <xdr:nvCxnSpPr>
        <xdr:cNvPr id="2" name="Connettore 2 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5305425" y="17814925"/>
          <a:ext cx="352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197827</xdr:colOff>
      <xdr:row>69</xdr:row>
      <xdr:rowOff>139211</xdr:rowOff>
    </xdr:from>
    <xdr:to>
      <xdr:col>9</xdr:col>
      <xdr:colOff>406369</xdr:colOff>
      <xdr:row>69</xdr:row>
      <xdr:rowOff>511876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0751527" y="18401811"/>
          <a:ext cx="1173742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8</xdr:col>
      <xdr:colOff>219074</xdr:colOff>
      <xdr:row>67</xdr:row>
      <xdr:rowOff>66676</xdr:rowOff>
    </xdr:from>
    <xdr:to>
      <xdr:col>9</xdr:col>
      <xdr:colOff>381000</xdr:colOff>
      <xdr:row>69</xdr:row>
      <xdr:rowOff>9526</xdr:rowOff>
    </xdr:to>
    <xdr:sp macro="" textlink="">
      <xdr:nvSpPr>
        <xdr:cNvPr id="4" name="CasellaDiTest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10772774" y="17719676"/>
          <a:ext cx="1127126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/>
            <a:t>RUE</a:t>
          </a:r>
          <a:r>
            <a:rPr lang="it-IT" sz="900" b="1" baseline="0"/>
            <a:t> Cartografico interattivo</a:t>
          </a:r>
        </a:p>
        <a:p>
          <a:r>
            <a:rPr lang="it-IT" sz="800" baseline="0"/>
            <a:t>(clicca per aprire)</a:t>
          </a:r>
          <a:endParaRPr lang="it-IT" sz="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33</xdr:row>
      <xdr:rowOff>161925</xdr:rowOff>
    </xdr:from>
    <xdr:to>
      <xdr:col>5</xdr:col>
      <xdr:colOff>76200</xdr:colOff>
      <xdr:row>33</xdr:row>
      <xdr:rowOff>161925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>
          <a:off x="4137025" y="9026525"/>
          <a:ext cx="4349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428625</xdr:colOff>
      <xdr:row>21</xdr:row>
      <xdr:rowOff>285750</xdr:rowOff>
    </xdr:from>
    <xdr:to>
      <xdr:col>14</xdr:col>
      <xdr:colOff>230187</xdr:colOff>
      <xdr:row>23</xdr:row>
      <xdr:rowOff>166688</xdr:rowOff>
    </xdr:to>
    <xdr:sp macro="" textlink="">
      <xdr:nvSpPr>
        <xdr:cNvPr id="3" name="Freccia a destra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 bwMode="auto">
        <a:xfrm>
          <a:off x="8277225" y="5492750"/>
          <a:ext cx="1643062" cy="49053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Compilare</a:t>
          </a:r>
        </a:p>
      </xdr:txBody>
    </xdr:sp>
    <xdr:clientData/>
  </xdr:twoCellAnchor>
  <xdr:twoCellAnchor>
    <xdr:from>
      <xdr:col>14</xdr:col>
      <xdr:colOff>131885</xdr:colOff>
      <xdr:row>37</xdr:row>
      <xdr:rowOff>146538</xdr:rowOff>
    </xdr:from>
    <xdr:to>
      <xdr:col>15</xdr:col>
      <xdr:colOff>611524</xdr:colOff>
      <xdr:row>37</xdr:row>
      <xdr:rowOff>519203</xdr:rowOff>
    </xdr:to>
    <xdr:sp macro="" textlink="">
      <xdr:nvSpPr>
        <xdr:cNvPr id="4" name="CasellaDiTes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/>
      </xdr:nvSpPr>
      <xdr:spPr>
        <a:xfrm>
          <a:off x="9821985" y="10230338"/>
          <a:ext cx="1140039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14</xdr:col>
      <xdr:colOff>161925</xdr:colOff>
      <xdr:row>35</xdr:row>
      <xdr:rowOff>171450</xdr:rowOff>
    </xdr:from>
    <xdr:to>
      <xdr:col>15</xdr:col>
      <xdr:colOff>581025</xdr:colOff>
      <xdr:row>37</xdr:row>
      <xdr:rowOff>47625</xdr:rowOff>
    </xdr:to>
    <xdr:sp macro="" textlink="">
      <xdr:nvSpPr>
        <xdr:cNvPr id="5" name="CasellaDiTes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/>
      </xdr:nvSpPr>
      <xdr:spPr>
        <a:xfrm>
          <a:off x="9852025" y="9645650"/>
          <a:ext cx="10795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200025</xdr:colOff>
      <xdr:row>35</xdr:row>
      <xdr:rowOff>171450</xdr:rowOff>
    </xdr:from>
    <xdr:to>
      <xdr:col>2</xdr:col>
      <xdr:colOff>847725</xdr:colOff>
      <xdr:row>35</xdr:row>
      <xdr:rowOff>180975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2238375" y="9725025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253999</xdr:colOff>
      <xdr:row>6</xdr:row>
      <xdr:rowOff>285750</xdr:rowOff>
    </xdr:from>
    <xdr:to>
      <xdr:col>12</xdr:col>
      <xdr:colOff>349249</xdr:colOff>
      <xdr:row>8</xdr:row>
      <xdr:rowOff>166688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 bwMode="auto">
        <a:xfrm>
          <a:off x="7331074" y="1933575"/>
          <a:ext cx="2114550" cy="50958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Compilare</a:t>
          </a:r>
        </a:p>
      </xdr:txBody>
    </xdr:sp>
    <xdr:clientData/>
  </xdr:twoCellAnchor>
  <xdr:twoCellAnchor>
    <xdr:from>
      <xdr:col>12</xdr:col>
      <xdr:colOff>124558</xdr:colOff>
      <xdr:row>20</xdr:row>
      <xdr:rowOff>146539</xdr:rowOff>
    </xdr:from>
    <xdr:to>
      <xdr:col>13</xdr:col>
      <xdr:colOff>604196</xdr:colOff>
      <xdr:row>20</xdr:row>
      <xdr:rowOff>519204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9220933" y="6004414"/>
          <a:ext cx="1060663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12</xdr:col>
      <xdr:colOff>152400</xdr:colOff>
      <xdr:row>20</xdr:row>
      <xdr:rowOff>609600</xdr:rowOff>
    </xdr:from>
    <xdr:to>
      <xdr:col>13</xdr:col>
      <xdr:colOff>571500</xdr:colOff>
      <xdr:row>22</xdr:row>
      <xdr:rowOff>209550</xdr:rowOff>
    </xdr:to>
    <xdr:sp macro="" textlink="">
      <xdr:nvSpPr>
        <xdr:cNvPr id="4" name="CasellaDiTest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9248775" y="6467475"/>
          <a:ext cx="100012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190500</xdr:colOff>
      <xdr:row>16</xdr:row>
      <xdr:rowOff>171450</xdr:rowOff>
    </xdr:from>
    <xdr:to>
      <xdr:col>2</xdr:col>
      <xdr:colOff>838200</xdr:colOff>
      <xdr:row>16</xdr:row>
      <xdr:rowOff>180975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CxnSpPr/>
      </xdr:nvCxnSpPr>
      <xdr:spPr>
        <a:xfrm>
          <a:off x="2305050" y="4962525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51290</xdr:colOff>
      <xdr:row>20</xdr:row>
      <xdr:rowOff>58616</xdr:rowOff>
    </xdr:from>
    <xdr:to>
      <xdr:col>18</xdr:col>
      <xdr:colOff>813290</xdr:colOff>
      <xdr:row>20</xdr:row>
      <xdr:rowOff>569669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 bwMode="auto">
        <a:xfrm>
          <a:off x="15319865" y="5916491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18</xdr:col>
      <xdr:colOff>51290</xdr:colOff>
      <xdr:row>20</xdr:row>
      <xdr:rowOff>58616</xdr:rowOff>
    </xdr:from>
    <xdr:to>
      <xdr:col>18</xdr:col>
      <xdr:colOff>813290</xdr:colOff>
      <xdr:row>20</xdr:row>
      <xdr:rowOff>569669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 bwMode="auto">
        <a:xfrm>
          <a:off x="16288240" y="5900616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21</xdr:row>
      <xdr:rowOff>298174</xdr:rowOff>
    </xdr:from>
    <xdr:to>
      <xdr:col>14</xdr:col>
      <xdr:colOff>405848</xdr:colOff>
      <xdr:row>23</xdr:row>
      <xdr:rowOff>179113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 bwMode="auto">
        <a:xfrm>
          <a:off x="7191375" y="5327374"/>
          <a:ext cx="1758398" cy="509589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Compilare</a:t>
          </a:r>
        </a:p>
      </xdr:txBody>
    </xdr:sp>
    <xdr:clientData/>
  </xdr:twoCellAnchor>
  <xdr:twoCellAnchor>
    <xdr:from>
      <xdr:col>14</xdr:col>
      <xdr:colOff>124559</xdr:colOff>
      <xdr:row>35</xdr:row>
      <xdr:rowOff>139213</xdr:rowOff>
    </xdr:from>
    <xdr:to>
      <xdr:col>15</xdr:col>
      <xdr:colOff>604197</xdr:colOff>
      <xdr:row>35</xdr:row>
      <xdr:rowOff>511878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/>
      </xdr:nvSpPr>
      <xdr:spPr>
        <a:xfrm>
          <a:off x="8668484" y="9378463"/>
          <a:ext cx="1060663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14</xdr:col>
      <xdr:colOff>133351</xdr:colOff>
      <xdr:row>35</xdr:row>
      <xdr:rowOff>590551</xdr:rowOff>
    </xdr:from>
    <xdr:to>
      <xdr:col>15</xdr:col>
      <xdr:colOff>581026</xdr:colOff>
      <xdr:row>37</xdr:row>
      <xdr:rowOff>180976</xdr:rowOff>
    </xdr:to>
    <xdr:sp macro="" textlink="">
      <xdr:nvSpPr>
        <xdr:cNvPr id="4" name="CasellaDiTest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/>
      </xdr:nvSpPr>
      <xdr:spPr>
        <a:xfrm>
          <a:off x="8677276" y="9829801"/>
          <a:ext cx="102870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</xdr:txBody>
    </xdr:sp>
    <xdr:clientData/>
  </xdr:twoCellAnchor>
  <xdr:twoCellAnchor>
    <xdr:from>
      <xdr:col>2</xdr:col>
      <xdr:colOff>190500</xdr:colOff>
      <xdr:row>30</xdr:row>
      <xdr:rowOff>171450</xdr:rowOff>
    </xdr:from>
    <xdr:to>
      <xdr:col>2</xdr:col>
      <xdr:colOff>838200</xdr:colOff>
      <xdr:row>30</xdr:row>
      <xdr:rowOff>180975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>
          <a:off x="2257425" y="8029575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51290</xdr:colOff>
      <xdr:row>35</xdr:row>
      <xdr:rowOff>58616</xdr:rowOff>
    </xdr:from>
    <xdr:to>
      <xdr:col>20</xdr:col>
      <xdr:colOff>813290</xdr:colOff>
      <xdr:row>35</xdr:row>
      <xdr:rowOff>569669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 bwMode="auto">
        <a:xfrm>
          <a:off x="14834090" y="9297866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20</xdr:col>
      <xdr:colOff>51290</xdr:colOff>
      <xdr:row>35</xdr:row>
      <xdr:rowOff>58616</xdr:rowOff>
    </xdr:from>
    <xdr:to>
      <xdr:col>20</xdr:col>
      <xdr:colOff>813290</xdr:colOff>
      <xdr:row>35</xdr:row>
      <xdr:rowOff>569669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 bwMode="auto">
        <a:xfrm>
          <a:off x="16688290" y="5900616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20</xdr:col>
      <xdr:colOff>51290</xdr:colOff>
      <xdr:row>35</xdr:row>
      <xdr:rowOff>58616</xdr:rowOff>
    </xdr:from>
    <xdr:to>
      <xdr:col>20</xdr:col>
      <xdr:colOff>813290</xdr:colOff>
      <xdr:row>35</xdr:row>
      <xdr:rowOff>569669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 bwMode="auto">
        <a:xfrm>
          <a:off x="16688290" y="5900616"/>
          <a:ext cx="762000" cy="511053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11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93</xdr:row>
      <xdr:rowOff>161925</xdr:rowOff>
    </xdr:from>
    <xdr:to>
      <xdr:col>4</xdr:col>
      <xdr:colOff>552450</xdr:colOff>
      <xdr:row>93</xdr:row>
      <xdr:rowOff>161925</xdr:rowOff>
    </xdr:to>
    <xdr:cxnSp macro="">
      <xdr:nvCxnSpPr>
        <xdr:cNvPr id="2" name="Connettore 2 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>
          <a:off x="4829175" y="25812750"/>
          <a:ext cx="3524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146538</xdr:colOff>
      <xdr:row>95</xdr:row>
      <xdr:rowOff>146539</xdr:rowOff>
    </xdr:from>
    <xdr:to>
      <xdr:col>9</xdr:col>
      <xdr:colOff>355080</xdr:colOff>
      <xdr:row>95</xdr:row>
      <xdr:rowOff>519204</xdr:rowOff>
    </xdr:to>
    <xdr:sp macro="" textlink="">
      <xdr:nvSpPr>
        <xdr:cNvPr id="3" name="CasellaDiTes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9585813" y="26426014"/>
          <a:ext cx="1056267" cy="37266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8</xdr:col>
      <xdr:colOff>171451</xdr:colOff>
      <xdr:row>93</xdr:row>
      <xdr:rowOff>142876</xdr:rowOff>
    </xdr:from>
    <xdr:to>
      <xdr:col>9</xdr:col>
      <xdr:colOff>314326</xdr:colOff>
      <xdr:row>95</xdr:row>
      <xdr:rowOff>38100</xdr:rowOff>
    </xdr:to>
    <xdr:sp macro="" textlink="">
      <xdr:nvSpPr>
        <xdr:cNvPr id="4" name="CasellaDiTest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/>
      </xdr:nvSpPr>
      <xdr:spPr>
        <a:xfrm>
          <a:off x="9610726" y="25793701"/>
          <a:ext cx="9906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900"/>
        </a:p>
      </xdr:txBody>
    </xdr:sp>
    <xdr:clientData/>
  </xdr:twoCellAnchor>
  <xdr:twoCellAnchor>
    <xdr:from>
      <xdr:col>19</xdr:col>
      <xdr:colOff>87709</xdr:colOff>
      <xdr:row>13</xdr:row>
      <xdr:rowOff>30041</xdr:rowOff>
    </xdr:from>
    <xdr:to>
      <xdr:col>19</xdr:col>
      <xdr:colOff>783034</xdr:colOff>
      <xdr:row>13</xdr:row>
      <xdr:rowOff>283919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/>
      </xdr:nvSpPr>
      <xdr:spPr bwMode="auto">
        <a:xfrm>
          <a:off x="19912409" y="389084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21</xdr:col>
      <xdr:colOff>588058</xdr:colOff>
      <xdr:row>12</xdr:row>
      <xdr:rowOff>129887</xdr:rowOff>
    </xdr:from>
    <xdr:to>
      <xdr:col>30</xdr:col>
      <xdr:colOff>181840</xdr:colOff>
      <xdr:row>14</xdr:row>
      <xdr:rowOff>197276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/>
      </xdr:nvSpPr>
      <xdr:spPr>
        <a:xfrm>
          <a:off x="22400308" y="3679537"/>
          <a:ext cx="5124632" cy="6896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21</xdr:col>
      <xdr:colOff>123235</xdr:colOff>
      <xdr:row>13</xdr:row>
      <xdr:rowOff>30525</xdr:rowOff>
    </xdr:from>
    <xdr:to>
      <xdr:col>21</xdr:col>
      <xdr:colOff>503832</xdr:colOff>
      <xdr:row>13</xdr:row>
      <xdr:rowOff>284403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/>
      </xdr:nvSpPr>
      <xdr:spPr bwMode="auto">
        <a:xfrm>
          <a:off x="21935485" y="3891325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  <xdr:twoCellAnchor>
    <xdr:from>
      <xdr:col>19</xdr:col>
      <xdr:colOff>87709</xdr:colOff>
      <xdr:row>13</xdr:row>
      <xdr:rowOff>30041</xdr:rowOff>
    </xdr:from>
    <xdr:to>
      <xdr:col>19</xdr:col>
      <xdr:colOff>783034</xdr:colOff>
      <xdr:row>13</xdr:row>
      <xdr:rowOff>283919</xdr:rowOff>
    </xdr:to>
    <xdr:sp macro="" textlink="">
      <xdr:nvSpPr>
        <xdr:cNvPr id="11" name="Freccia a destra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/>
      </xdr:nvSpPr>
      <xdr:spPr bwMode="auto">
        <a:xfrm>
          <a:off x="19912409" y="389084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117231</xdr:colOff>
      <xdr:row>55</xdr:row>
      <xdr:rowOff>102577</xdr:rowOff>
    </xdr:from>
    <xdr:to>
      <xdr:col>12</xdr:col>
      <xdr:colOff>325773</xdr:colOff>
      <xdr:row>57</xdr:row>
      <xdr:rowOff>35627</xdr:rowOff>
    </xdr:to>
    <xdr:sp macro="" textlink="">
      <xdr:nvSpPr>
        <xdr:cNvPr id="2" name="CasellaDiTes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0832856" y="16666552"/>
          <a:ext cx="1056267" cy="437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11</xdr:col>
      <xdr:colOff>142875</xdr:colOff>
      <xdr:row>53</xdr:row>
      <xdr:rowOff>123825</xdr:rowOff>
    </xdr:from>
    <xdr:to>
      <xdr:col>12</xdr:col>
      <xdr:colOff>295275</xdr:colOff>
      <xdr:row>55</xdr:row>
      <xdr:rowOff>0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10858500" y="15992475"/>
          <a:ext cx="10001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190500</xdr:colOff>
      <xdr:row>52</xdr:row>
      <xdr:rowOff>180975</xdr:rowOff>
    </xdr:from>
    <xdr:to>
      <xdr:col>2</xdr:col>
      <xdr:colOff>838200</xdr:colOff>
      <xdr:row>52</xdr:row>
      <xdr:rowOff>190500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CxnSpPr/>
      </xdr:nvCxnSpPr>
      <xdr:spPr>
        <a:xfrm>
          <a:off x="2305050" y="15735300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87709</xdr:colOff>
      <xdr:row>33</xdr:row>
      <xdr:rowOff>30041</xdr:rowOff>
    </xdr:from>
    <xdr:to>
      <xdr:col>20</xdr:col>
      <xdr:colOff>783034</xdr:colOff>
      <xdr:row>33</xdr:row>
      <xdr:rowOff>283919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 bwMode="auto">
        <a:xfrm>
          <a:off x="19912409" y="389084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22</xdr:col>
      <xdr:colOff>588058</xdr:colOff>
      <xdr:row>32</xdr:row>
      <xdr:rowOff>129887</xdr:rowOff>
    </xdr:from>
    <xdr:to>
      <xdr:col>31</xdr:col>
      <xdr:colOff>181840</xdr:colOff>
      <xdr:row>34</xdr:row>
      <xdr:rowOff>197276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/>
      </xdr:nvSpPr>
      <xdr:spPr>
        <a:xfrm>
          <a:off x="22400308" y="3679537"/>
          <a:ext cx="5124632" cy="6896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22</xdr:col>
      <xdr:colOff>123235</xdr:colOff>
      <xdr:row>33</xdr:row>
      <xdr:rowOff>30525</xdr:rowOff>
    </xdr:from>
    <xdr:to>
      <xdr:col>22</xdr:col>
      <xdr:colOff>503832</xdr:colOff>
      <xdr:row>33</xdr:row>
      <xdr:rowOff>284403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 bwMode="auto">
        <a:xfrm>
          <a:off x="21935485" y="3891325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  <xdr:twoCellAnchor>
    <xdr:from>
      <xdr:col>20</xdr:col>
      <xdr:colOff>87709</xdr:colOff>
      <xdr:row>33</xdr:row>
      <xdr:rowOff>30041</xdr:rowOff>
    </xdr:from>
    <xdr:to>
      <xdr:col>20</xdr:col>
      <xdr:colOff>783034</xdr:colOff>
      <xdr:row>33</xdr:row>
      <xdr:rowOff>283919</xdr:rowOff>
    </xdr:to>
    <xdr:sp macro="" textlink="">
      <xdr:nvSpPr>
        <xdr:cNvPr id="11" name="Freccia a destra 10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/>
      </xdr:nvSpPr>
      <xdr:spPr bwMode="auto">
        <a:xfrm>
          <a:off x="19912409" y="389084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131886</xdr:colOff>
      <xdr:row>52</xdr:row>
      <xdr:rowOff>109904</xdr:rowOff>
    </xdr:from>
    <xdr:to>
      <xdr:col>12</xdr:col>
      <xdr:colOff>340428</xdr:colOff>
      <xdr:row>54</xdr:row>
      <xdr:rowOff>42953</xdr:rowOff>
    </xdr:to>
    <xdr:sp macro="" textlink="">
      <xdr:nvSpPr>
        <xdr:cNvPr id="2" name="CasellaDiTest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10657011" y="15883304"/>
          <a:ext cx="1056267" cy="43787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Tav. CTP 3 del PSC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11</xdr:col>
      <xdr:colOff>161926</xdr:colOff>
      <xdr:row>50</xdr:row>
      <xdr:rowOff>152400</xdr:rowOff>
    </xdr:from>
    <xdr:to>
      <xdr:col>12</xdr:col>
      <xdr:colOff>304801</xdr:colOff>
      <xdr:row>52</xdr:row>
      <xdr:rowOff>28575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10687051" y="15230475"/>
          <a:ext cx="9906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</a:t>
          </a:r>
          <a:r>
            <a:rPr lang="it-IT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Cartografico interattivo</a:t>
          </a:r>
          <a:endParaRPr lang="it-IT" sz="900">
            <a:effectLst/>
          </a:endParaRP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(clicca per aprire)</a:t>
          </a:r>
          <a:endParaRPr lang="it-IT" sz="8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2</xdr:col>
      <xdr:colOff>152400</xdr:colOff>
      <xdr:row>49</xdr:row>
      <xdr:rowOff>171450</xdr:rowOff>
    </xdr:from>
    <xdr:to>
      <xdr:col>2</xdr:col>
      <xdr:colOff>800100</xdr:colOff>
      <xdr:row>49</xdr:row>
      <xdr:rowOff>180975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CxnSpPr/>
      </xdr:nvCxnSpPr>
      <xdr:spPr>
        <a:xfrm>
          <a:off x="2266950" y="14935200"/>
          <a:ext cx="6477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87709</xdr:colOff>
      <xdr:row>13</xdr:row>
      <xdr:rowOff>30041</xdr:rowOff>
    </xdr:from>
    <xdr:to>
      <xdr:col>20</xdr:col>
      <xdr:colOff>783034</xdr:colOff>
      <xdr:row>13</xdr:row>
      <xdr:rowOff>283919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/>
      </xdr:nvSpPr>
      <xdr:spPr bwMode="auto">
        <a:xfrm>
          <a:off x="17642284" y="403054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22</xdr:col>
      <xdr:colOff>588058</xdr:colOff>
      <xdr:row>12</xdr:row>
      <xdr:rowOff>145901</xdr:rowOff>
    </xdr:from>
    <xdr:to>
      <xdr:col>30</xdr:col>
      <xdr:colOff>102577</xdr:colOff>
      <xdr:row>14</xdr:row>
      <xdr:rowOff>183174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/>
      </xdr:nvSpPr>
      <xdr:spPr>
        <a:xfrm>
          <a:off x="20038108" y="3832076"/>
          <a:ext cx="4867569" cy="6659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22</xdr:col>
      <xdr:colOff>82824</xdr:colOff>
      <xdr:row>13</xdr:row>
      <xdr:rowOff>30525</xdr:rowOff>
    </xdr:from>
    <xdr:to>
      <xdr:col>22</xdr:col>
      <xdr:colOff>463421</xdr:colOff>
      <xdr:row>13</xdr:row>
      <xdr:rowOff>284403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/>
      </xdr:nvSpPr>
      <xdr:spPr bwMode="auto">
        <a:xfrm>
          <a:off x="19532874" y="4031025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  <xdr:twoCellAnchor>
    <xdr:from>
      <xdr:col>20</xdr:col>
      <xdr:colOff>87709</xdr:colOff>
      <xdr:row>13</xdr:row>
      <xdr:rowOff>30041</xdr:rowOff>
    </xdr:from>
    <xdr:to>
      <xdr:col>20</xdr:col>
      <xdr:colOff>783034</xdr:colOff>
      <xdr:row>13</xdr:row>
      <xdr:rowOff>283919</xdr:rowOff>
    </xdr:to>
    <xdr:sp macro="" textlink="">
      <xdr:nvSpPr>
        <xdr:cNvPr id="11" name="Freccia a destra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/>
      </xdr:nvSpPr>
      <xdr:spPr bwMode="auto">
        <a:xfrm>
          <a:off x="18693209" y="9993191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20</xdr:col>
      <xdr:colOff>87709</xdr:colOff>
      <xdr:row>30</xdr:row>
      <xdr:rowOff>30041</xdr:rowOff>
    </xdr:from>
    <xdr:to>
      <xdr:col>20</xdr:col>
      <xdr:colOff>783034</xdr:colOff>
      <xdr:row>30</xdr:row>
      <xdr:rowOff>283919</xdr:rowOff>
    </xdr:to>
    <xdr:sp macro="" textlink="">
      <xdr:nvSpPr>
        <xdr:cNvPr id="22" name="Freccia a destra 21"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SpPr/>
      </xdr:nvSpPr>
      <xdr:spPr bwMode="auto">
        <a:xfrm>
          <a:off x="18514254" y="4070950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  <xdr:twoCellAnchor>
    <xdr:from>
      <xdr:col>22</xdr:col>
      <xdr:colOff>588058</xdr:colOff>
      <xdr:row>29</xdr:row>
      <xdr:rowOff>145901</xdr:rowOff>
    </xdr:from>
    <xdr:to>
      <xdr:col>30</xdr:col>
      <xdr:colOff>102577</xdr:colOff>
      <xdr:row>31</xdr:row>
      <xdr:rowOff>183174</xdr:rowOff>
    </xdr:to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SpPr txBox="1"/>
      </xdr:nvSpPr>
      <xdr:spPr>
        <a:xfrm>
          <a:off x="21000422" y="3875083"/>
          <a:ext cx="5171791" cy="6607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</a:rPr>
            <a:t>Questo è il valore OMI da inserire nella tabella accanto, nelle caselle MIN e MAX allo stato conservativo OTTIMO. La funzione (Uso) deve essere ripetuta e quindi selezionata uguale sia per la funzione presente che per quella di progetto.</a:t>
          </a:r>
        </a:p>
      </xdr:txBody>
    </xdr:sp>
    <xdr:clientData/>
  </xdr:twoCellAnchor>
  <xdr:twoCellAnchor>
    <xdr:from>
      <xdr:col>22</xdr:col>
      <xdr:colOff>82824</xdr:colOff>
      <xdr:row>30</xdr:row>
      <xdr:rowOff>30525</xdr:rowOff>
    </xdr:from>
    <xdr:to>
      <xdr:col>22</xdr:col>
      <xdr:colOff>463421</xdr:colOff>
      <xdr:row>30</xdr:row>
      <xdr:rowOff>284403</xdr:rowOff>
    </xdr:to>
    <xdr:sp macro="" textlink="">
      <xdr:nvSpPr>
        <xdr:cNvPr id="24" name="Freccia a destra 23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/>
      </xdr:nvSpPr>
      <xdr:spPr bwMode="auto">
        <a:xfrm>
          <a:off x="20495188" y="4071434"/>
          <a:ext cx="380597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endParaRPr lang="it-IT" sz="800" b="1">
            <a:solidFill>
              <a:schemeClr val="tx2"/>
            </a:solidFill>
          </a:endParaRPr>
        </a:p>
      </xdr:txBody>
    </xdr:sp>
    <xdr:clientData/>
  </xdr:twoCellAnchor>
  <xdr:twoCellAnchor>
    <xdr:from>
      <xdr:col>20</xdr:col>
      <xdr:colOff>87709</xdr:colOff>
      <xdr:row>30</xdr:row>
      <xdr:rowOff>30041</xdr:rowOff>
    </xdr:from>
    <xdr:to>
      <xdr:col>20</xdr:col>
      <xdr:colOff>783034</xdr:colOff>
      <xdr:row>30</xdr:row>
      <xdr:rowOff>283919</xdr:rowOff>
    </xdr:to>
    <xdr:sp macro="" textlink="">
      <xdr:nvSpPr>
        <xdr:cNvPr id="25" name="Freccia a destra 24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SpPr/>
      </xdr:nvSpPr>
      <xdr:spPr bwMode="auto">
        <a:xfrm>
          <a:off x="18514254" y="4070950"/>
          <a:ext cx="695325" cy="253878"/>
        </a:xfrm>
        <a:prstGeom prst="rightArrow">
          <a:avLst/>
        </a:prstGeom>
        <a:ln>
          <a:solidFill>
            <a:schemeClr val="tx2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it-IT" sz="800" b="1">
              <a:solidFill>
                <a:schemeClr val="tx2"/>
              </a:solidFill>
            </a:rPr>
            <a:t>OMI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demarkitalia.com/index.cfm" TargetMode="External"/><Relationship Id="rId2" Type="http://schemas.openxmlformats.org/officeDocument/2006/relationships/hyperlink" Target="https://wwwt.agenziaentrate.gov.it/geopoi_omi/index.php" TargetMode="External"/><Relationship Id="rId1" Type="http://schemas.openxmlformats.org/officeDocument/2006/relationships/hyperlink" Target="https://wwwt.agenziaentrate.gov.it/geopoi_omi/index.php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statistica.regione.emilia-romagna.it/turismo/dati-preliminari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demarkitalia.com/index.cfm" TargetMode="External"/><Relationship Id="rId2" Type="http://schemas.openxmlformats.org/officeDocument/2006/relationships/hyperlink" Target="https://wwwt.agenziaentrate.gov.it/geopoi_omi/index.php" TargetMode="External"/><Relationship Id="rId1" Type="http://schemas.openxmlformats.org/officeDocument/2006/relationships/hyperlink" Target="https://wwwt.agenziaentrate.gov.it/geopoi_omi/index.php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statistica.regione.emilia-romagna.it/turismo/dati-preliminari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9.xml"/><Relationship Id="rId3" Type="http://schemas.openxmlformats.org/officeDocument/2006/relationships/hyperlink" Target="http://www.trademarkitalia.com/index.cfm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s://wwwt.agenziaentrate.gov.it/geopoi_omi/index.php" TargetMode="External"/><Relationship Id="rId1" Type="http://schemas.openxmlformats.org/officeDocument/2006/relationships/hyperlink" Target="https://wwwt.agenziaentrate.gov.it/geopoi_omi/index.php" TargetMode="External"/><Relationship Id="rId6" Type="http://schemas.openxmlformats.org/officeDocument/2006/relationships/hyperlink" Target="https://statistica.regione.emilia-romagna.it/turismo/dati-preliminari" TargetMode="External"/><Relationship Id="rId5" Type="http://schemas.openxmlformats.org/officeDocument/2006/relationships/hyperlink" Target="http://www.trademarkitalia.com/index.cfm" TargetMode="External"/><Relationship Id="rId4" Type="http://schemas.openxmlformats.org/officeDocument/2006/relationships/hyperlink" Target="https://statistica.regione.emilia-romagna.it/turismo/dati-preliminari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t.agenziaentrate.gov.it/geopoi_omi/index.ph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t.agenziaentrate.gov.it/geopoi_omi/index.ph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stica.regione.emilia-romagna.it/turismo/dati-preliminari" TargetMode="External"/><Relationship Id="rId2" Type="http://schemas.openxmlformats.org/officeDocument/2006/relationships/hyperlink" Target="http://www.trademarkitalia.com/index.cfm" TargetMode="External"/><Relationship Id="rId1" Type="http://schemas.openxmlformats.org/officeDocument/2006/relationships/hyperlink" Target="https://wwwt.agenziaentrate.gov.it/geopoi_omi/index.php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stica.regione.emilia-romagna.it/turismo/dati-preliminari" TargetMode="External"/><Relationship Id="rId2" Type="http://schemas.openxmlformats.org/officeDocument/2006/relationships/hyperlink" Target="http://www.trademarkitalia.com/index.cfm" TargetMode="External"/><Relationship Id="rId1" Type="http://schemas.openxmlformats.org/officeDocument/2006/relationships/hyperlink" Target="https://wwwt.agenziaentrate.gov.it/geopoi_omi/index.php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E20" sqref="E20"/>
    </sheetView>
  </sheetViews>
  <sheetFormatPr defaultRowHeight="15"/>
  <cols>
    <col min="1" max="1" width="23.42578125" customWidth="1"/>
    <col min="2" max="2" width="56.5703125" customWidth="1"/>
    <col min="3" max="3" width="39.42578125" customWidth="1"/>
    <col min="4" max="4" width="171.140625" bestFit="1" customWidth="1"/>
  </cols>
  <sheetData>
    <row r="1" spans="1:4">
      <c r="A1" t="s">
        <v>588</v>
      </c>
      <c r="B1" t="s">
        <v>589</v>
      </c>
      <c r="C1" s="557" t="s">
        <v>590</v>
      </c>
      <c r="D1" s="558" t="s">
        <v>591</v>
      </c>
    </row>
    <row r="2" spans="1:4">
      <c r="A2" t="s">
        <v>592</v>
      </c>
      <c r="B2" t="str">
        <f>IF(C2="","","Oblazione")</f>
        <v/>
      </c>
      <c r="C2" s="559" t="str">
        <f>IF(SUM(VARIANTI!$G$2:$G$19)&gt;0,VARIANTI!G10,IF(Allegato_1Cs!AB200=0,"",Allegato_1Cs!AB200))</f>
        <v/>
      </c>
      <c r="D2" s="577" t="str">
        <f>IF(C2="","",IF(SUM(VARIANTI!$G$2:$G$20)&gt;0,VARIANTI!H10,Allegato_1Cs!AP192))</f>
        <v/>
      </c>
    </row>
    <row r="3" spans="1:4">
      <c r="B3" t="str">
        <f>IF(C3="","","Monetizzazione")</f>
        <v/>
      </c>
      <c r="C3" s="559" t="str">
        <f>IF(SUM(VARIANTI!$G$2:$G$19)&gt;0,VARIANTI!G8,IF(Allegato_1Cs!AB205=0,"",Allegato_1Cs!AB205))</f>
        <v/>
      </c>
      <c r="D3" s="577" t="str">
        <f>IF(C3="","",IF(SUM(VARIANTI!$G$2:$G$20)&gt;0,VARIANTI!H8,Allegato_1Cs!AP122))</f>
        <v/>
      </c>
    </row>
    <row r="4" spans="1:4">
      <c r="B4" t="str">
        <f>IF(C4="","","Contributo Città Pubblica")</f>
        <v/>
      </c>
      <c r="C4" s="559" t="str">
        <f>IF(SUM(VARIANTI!$G$2:$G$19)&gt;0,VARIANTI!G9,IF(Allegato_1Cs!AB207=0,"",Allegato_1Cs!AB207))</f>
        <v/>
      </c>
    </row>
    <row r="5" spans="1:4">
      <c r="B5" t="str">
        <f>IF(C5="","","Contributo Straordinario")</f>
        <v/>
      </c>
      <c r="C5" s="559" t="str">
        <f>IF(SUM(VARIANTI!$G$2:$G$19)&gt;0,VARIANTI!G7,IF(Allegato_1Cs!V191=0,"",Allegato_1Cs!V191))</f>
        <v/>
      </c>
    </row>
    <row r="8" spans="1:4">
      <c r="C8" s="559"/>
    </row>
    <row r="9" spans="1:4">
      <c r="C9" s="55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28"/>
  <sheetViews>
    <sheetView showGridLines="0" zoomScaleNormal="100" workbookViewId="0">
      <selection activeCell="C20" sqref="C20"/>
    </sheetView>
  </sheetViews>
  <sheetFormatPr defaultColWidth="9.140625" defaultRowHeight="12.75"/>
  <cols>
    <col min="1" max="1" width="5.5703125" style="4" customWidth="1"/>
    <col min="2" max="2" width="24.5703125" style="4" customWidth="1"/>
    <col min="3" max="3" width="18.42578125" style="4" customWidth="1"/>
    <col min="4" max="4" width="20.5703125" style="4" customWidth="1"/>
    <col min="5" max="5" width="25.5703125" style="4" customWidth="1"/>
    <col min="6" max="6" width="15.5703125" style="4" customWidth="1"/>
    <col min="7" max="7" width="18.140625" style="4" customWidth="1"/>
    <col min="8" max="12" width="12.5703125" style="4" customWidth="1"/>
    <col min="13" max="13" width="12.42578125" style="4" customWidth="1"/>
    <col min="14" max="14" width="11.5703125" style="4" customWidth="1"/>
    <col min="15" max="15" width="9.140625" style="4"/>
    <col min="16" max="16" width="10.5703125" style="4" customWidth="1"/>
    <col min="17" max="17" width="5.5703125" style="4" customWidth="1"/>
    <col min="18" max="18" width="25.5703125" style="4" customWidth="1"/>
    <col min="19" max="19" width="15.5703125" style="4" customWidth="1"/>
    <col min="20" max="20" width="12.5703125" style="4" customWidth="1"/>
    <col min="21" max="21" width="15.5703125" style="4" customWidth="1"/>
    <col min="22" max="23" width="9.140625" style="4"/>
    <col min="24" max="24" width="5.5703125" style="4" customWidth="1"/>
    <col min="25" max="16384" width="9.140625" style="4"/>
  </cols>
  <sheetData>
    <row r="1" spans="2:27" ht="13.5" thickBot="1"/>
    <row r="2" spans="2:27" ht="35.1" customHeight="1">
      <c r="B2" s="878" t="s">
        <v>321</v>
      </c>
      <c r="C2" s="881" t="s">
        <v>322</v>
      </c>
      <c r="D2" s="810"/>
      <c r="E2" s="810"/>
      <c r="F2" s="810"/>
      <c r="G2" s="810"/>
      <c r="H2" s="811"/>
      <c r="I2" s="5"/>
    </row>
    <row r="3" spans="2:27" ht="35.1" customHeight="1">
      <c r="B3" s="879"/>
      <c r="C3" s="882" t="s">
        <v>323</v>
      </c>
      <c r="D3" s="883"/>
      <c r="E3" s="883"/>
      <c r="F3" s="883"/>
      <c r="G3" s="883"/>
      <c r="H3" s="884"/>
      <c r="I3" s="5"/>
    </row>
    <row r="4" spans="2:27" ht="35.1" customHeight="1" thickBot="1">
      <c r="B4" s="880"/>
      <c r="C4" s="869" t="s">
        <v>477</v>
      </c>
      <c r="D4" s="813"/>
      <c r="E4" s="813"/>
      <c r="F4" s="813"/>
      <c r="G4" s="813"/>
      <c r="H4" s="814"/>
      <c r="I4" s="5"/>
    </row>
    <row r="5" spans="2:27" ht="9.9499999999999993" customHeight="1">
      <c r="B5" s="341"/>
      <c r="C5" s="342"/>
      <c r="D5" s="340"/>
      <c r="E5" s="340"/>
      <c r="F5" s="340"/>
      <c r="G5" s="340"/>
      <c r="H5" s="340"/>
      <c r="I5" s="5"/>
    </row>
    <row r="6" spans="2:27" ht="24.95" customHeight="1">
      <c r="B6" s="815" t="s">
        <v>24</v>
      </c>
      <c r="C6" s="816"/>
      <c r="D6" s="816"/>
      <c r="E6" s="816"/>
      <c r="F6" s="816"/>
      <c r="G6" s="816"/>
      <c r="H6" s="817"/>
      <c r="I6" s="5"/>
    </row>
    <row r="8" spans="2:27" ht="24.75" customHeight="1">
      <c r="B8" s="6" t="s">
        <v>324</v>
      </c>
      <c r="G8" s="137" t="s">
        <v>611</v>
      </c>
      <c r="K8" s="32"/>
    </row>
    <row r="9" spans="2:27" ht="24.75" customHeight="1">
      <c r="B9" s="45" t="s">
        <v>428</v>
      </c>
      <c r="C9" s="807" t="s">
        <v>92</v>
      </c>
      <c r="D9" s="808"/>
      <c r="E9" s="808"/>
      <c r="G9" s="137" t="s">
        <v>476</v>
      </c>
      <c r="K9" s="32"/>
    </row>
    <row r="10" spans="2:27" ht="24.75" customHeight="1">
      <c r="B10" s="45"/>
      <c r="C10" s="369" t="s">
        <v>336</v>
      </c>
      <c r="D10"/>
      <c r="E10"/>
      <c r="G10" s="137" t="s">
        <v>612</v>
      </c>
      <c r="K10" s="32"/>
    </row>
    <row r="11" spans="2:27" ht="15" customHeight="1">
      <c r="B11" s="45"/>
      <c r="C11" s="387"/>
      <c r="D11"/>
      <c r="E11"/>
      <c r="K11" s="32"/>
    </row>
    <row r="12" spans="2:27" ht="24.75" customHeight="1">
      <c r="B12" s="872" t="s">
        <v>431</v>
      </c>
      <c r="C12" s="873"/>
      <c r="D12" s="873"/>
      <c r="E12" s="873"/>
      <c r="F12" s="873"/>
      <c r="G12" s="873"/>
      <c r="H12" s="873"/>
      <c r="I12" s="873"/>
      <c r="J12" s="873"/>
      <c r="K12" s="873"/>
      <c r="L12" s="874"/>
      <c r="M12" s="28"/>
      <c r="N12" s="29"/>
      <c r="P12" s="504" t="s">
        <v>517</v>
      </c>
    </row>
    <row r="13" spans="2:27" ht="24.75" customHeight="1" thickBot="1">
      <c r="B13" s="875"/>
      <c r="C13" s="876"/>
      <c r="D13" s="876"/>
      <c r="E13" s="876"/>
      <c r="F13" s="876"/>
      <c r="G13" s="876"/>
      <c r="H13" s="876"/>
      <c r="I13" s="876"/>
      <c r="J13" s="876"/>
      <c r="K13" s="876"/>
      <c r="L13" s="877"/>
      <c r="N13" s="30"/>
      <c r="P13" s="44"/>
    </row>
    <row r="14" spans="2:27" ht="24.75" customHeight="1" thickBot="1">
      <c r="B14" s="227"/>
      <c r="L14" s="30"/>
      <c r="N14" s="30"/>
      <c r="P14" s="505" t="s">
        <v>486</v>
      </c>
      <c r="Q14" s="506" t="s">
        <v>1</v>
      </c>
      <c r="R14" s="507" t="s">
        <v>487</v>
      </c>
      <c r="S14" s="508" t="e">
        <f>(R15*R16*R17*1000)/R18</f>
        <v>#DIV/0!</v>
      </c>
      <c r="T14" s="509"/>
      <c r="U14" s="522" t="e">
        <f>S14/0.475</f>
        <v>#DIV/0!</v>
      </c>
      <c r="V14" s="852"/>
      <c r="W14" s="853"/>
      <c r="X14" s="853"/>
      <c r="Y14" s="853"/>
      <c r="Z14" s="853"/>
      <c r="AA14" s="853"/>
    </row>
    <row r="15" spans="2:27" ht="24.75" customHeight="1">
      <c r="B15" s="632" t="s">
        <v>374</v>
      </c>
      <c r="C15" s="803"/>
      <c r="D15" s="44"/>
      <c r="E15" s="632" t="s">
        <v>430</v>
      </c>
      <c r="F15" s="804"/>
      <c r="G15" s="791" t="s">
        <v>94</v>
      </c>
      <c r="H15" s="792"/>
      <c r="I15" s="793"/>
      <c r="J15" s="170"/>
      <c r="K15" s="171"/>
      <c r="L15" s="50"/>
      <c r="N15" s="30"/>
      <c r="P15" s="170" t="s">
        <v>406</v>
      </c>
      <c r="Q15" s="170" t="s">
        <v>1</v>
      </c>
      <c r="R15" s="510">
        <v>0</v>
      </c>
      <c r="S15" s="511" t="s">
        <v>489</v>
      </c>
    </row>
    <row r="16" spans="2:27" ht="24.75" customHeight="1">
      <c r="B16" s="3"/>
      <c r="C16" s="172"/>
      <c r="D16" s="44"/>
      <c r="E16" s="51" t="s">
        <v>95</v>
      </c>
      <c r="F16" s="173" t="s">
        <v>96</v>
      </c>
      <c r="G16" s="794" t="s">
        <v>97</v>
      </c>
      <c r="H16" s="174" t="s">
        <v>98</v>
      </c>
      <c r="I16" s="175">
        <v>1</v>
      </c>
      <c r="J16" s="170"/>
      <c r="K16" s="170"/>
      <c r="L16" s="50"/>
      <c r="N16" s="30"/>
      <c r="P16" s="170" t="s">
        <v>490</v>
      </c>
      <c r="Q16" s="170" t="s">
        <v>1</v>
      </c>
      <c r="R16" s="531">
        <v>0.40039999999999998</v>
      </c>
      <c r="S16" s="511" t="s">
        <v>491</v>
      </c>
      <c r="Y16" s="512" t="s">
        <v>492</v>
      </c>
    </row>
    <row r="17" spans="2:25" ht="24.75" customHeight="1">
      <c r="B17" s="854" t="s">
        <v>184</v>
      </c>
      <c r="C17" s="855"/>
      <c r="D17" s="44"/>
      <c r="E17" s="394" t="s">
        <v>474</v>
      </c>
      <c r="F17" s="257">
        <f>IF(F16=H16,AVERAGE(C20:C21)*I16,IF(F16=H17,AVERAGE(C20:C21)*I17,IF(F16=H18,AVERAGE(C20:C21)*I18,"errore o dati mancanti")))</f>
        <v>0</v>
      </c>
      <c r="G17" s="795"/>
      <c r="H17" s="174" t="s">
        <v>96</v>
      </c>
      <c r="I17" s="175">
        <v>1.3</v>
      </c>
      <c r="J17" s="170"/>
      <c r="K17" s="170"/>
      <c r="L17" s="50"/>
      <c r="N17" s="30"/>
      <c r="P17" s="170" t="s">
        <v>493</v>
      </c>
      <c r="Q17" s="170" t="s">
        <v>1</v>
      </c>
      <c r="R17" s="532">
        <v>95.21</v>
      </c>
      <c r="S17" s="511" t="s">
        <v>514</v>
      </c>
      <c r="X17" s="12"/>
      <c r="Y17" s="514" t="s">
        <v>494</v>
      </c>
    </row>
    <row r="18" spans="2:25" ht="24.75" customHeight="1">
      <c r="B18" s="856"/>
      <c r="C18" s="857"/>
      <c r="D18" s="239"/>
      <c r="E18" s="395" t="s">
        <v>475</v>
      </c>
      <c r="F18" s="178"/>
      <c r="G18" s="796"/>
      <c r="H18" s="240" t="s">
        <v>101</v>
      </c>
      <c r="I18" s="175">
        <v>1.9</v>
      </c>
      <c r="J18" s="170"/>
      <c r="K18" s="170"/>
      <c r="L18" s="50"/>
      <c r="N18" s="30"/>
      <c r="P18" s="170" t="s">
        <v>495</v>
      </c>
      <c r="Q18" s="170" t="s">
        <v>1</v>
      </c>
      <c r="R18" s="513">
        <v>0</v>
      </c>
      <c r="S18" s="511" t="s">
        <v>496</v>
      </c>
    </row>
    <row r="19" spans="2:25" ht="24.75" customHeight="1">
      <c r="B19" s="49"/>
      <c r="C19" s="179"/>
      <c r="D19" s="44"/>
      <c r="E19" s="180"/>
      <c r="F19" s="180"/>
      <c r="G19" s="170"/>
      <c r="H19" s="241"/>
      <c r="I19" s="170"/>
      <c r="J19" s="170"/>
      <c r="K19" s="170"/>
      <c r="L19" s="50"/>
      <c r="N19" s="30"/>
      <c r="R19" s="515" t="s">
        <v>497</v>
      </c>
      <c r="S19" s="516" t="s">
        <v>525</v>
      </c>
    </row>
    <row r="20" spans="2:25" ht="24.75" customHeight="1">
      <c r="B20" s="55" t="s">
        <v>186</v>
      </c>
      <c r="C20" s="56">
        <v>0</v>
      </c>
      <c r="D20" s="44"/>
      <c r="E20" s="632" t="s">
        <v>187</v>
      </c>
      <c r="F20" s="804"/>
      <c r="G20" s="794" t="s">
        <v>188</v>
      </c>
      <c r="H20" s="791" t="s">
        <v>189</v>
      </c>
      <c r="I20" s="792"/>
      <c r="J20" s="792"/>
      <c r="K20" s="792"/>
      <c r="L20" s="792"/>
      <c r="M20" s="859"/>
      <c r="N20" s="860"/>
      <c r="S20" s="516" t="s">
        <v>515</v>
      </c>
    </row>
    <row r="21" spans="2:25" ht="24.75" customHeight="1">
      <c r="B21" s="55" t="s">
        <v>191</v>
      </c>
      <c r="C21" s="56">
        <v>0</v>
      </c>
      <c r="D21" s="44"/>
      <c r="E21" s="65" t="s">
        <v>192</v>
      </c>
      <c r="F21" s="181" t="s">
        <v>193</v>
      </c>
      <c r="G21" s="795"/>
      <c r="H21" s="242" t="s">
        <v>194</v>
      </c>
      <c r="I21" s="242" t="s">
        <v>193</v>
      </c>
      <c r="J21" s="242" t="s">
        <v>195</v>
      </c>
      <c r="K21" s="242" t="s">
        <v>196</v>
      </c>
      <c r="L21" s="242" t="s">
        <v>432</v>
      </c>
      <c r="M21" s="242" t="s">
        <v>433</v>
      </c>
      <c r="N21" s="242" t="s">
        <v>434</v>
      </c>
    </row>
    <row r="22" spans="2:25" ht="24.75" customHeight="1">
      <c r="B22" s="55"/>
      <c r="C22" s="486" t="s">
        <v>362</v>
      </c>
      <c r="D22" s="44"/>
      <c r="E22" s="243" t="s">
        <v>268</v>
      </c>
      <c r="F22" s="181" t="s">
        <v>193</v>
      </c>
      <c r="G22" s="858"/>
      <c r="H22" s="175">
        <v>1</v>
      </c>
      <c r="I22" s="175">
        <v>0.81</v>
      </c>
      <c r="J22" s="175">
        <v>1.52</v>
      </c>
      <c r="K22" s="175">
        <v>0.85</v>
      </c>
      <c r="L22" s="175">
        <v>0.33</v>
      </c>
      <c r="M22" s="175">
        <v>0.53</v>
      </c>
      <c r="N22" s="175">
        <v>0.37</v>
      </c>
    </row>
    <row r="23" spans="2:25" ht="24.75" customHeight="1">
      <c r="B23" s="234" t="s">
        <v>258</v>
      </c>
      <c r="C23" s="183">
        <f>F23</f>
        <v>0</v>
      </c>
      <c r="D23" s="244"/>
      <c r="E23" s="487" t="s">
        <v>453</v>
      </c>
      <c r="F23" s="258">
        <f>IF(AND(F21=I21,F22=I21),F17*H22,IF(AND(F21=J21,F22=J21),F17*H22,IF(AND(F21=K21,F22=K21),F17*H22,IF(AND(F21=L21,F22=L21),F17*H22,IF(AND(F21=M21,F22=M21),F17*H22,IF(AND(F21=N21,F22=N21),F17*H22,IF(AND(F21=H21,F22=I21),F17*I22,IF(AND(F21=H21,F22=J21),F17*J22,IF(AND(F21=H21,F22=K21),F17*K22,IF(AND(F21=H21,F22=L21),F17*L22,IF(AND(F21=H21,F22=M21),F17*M22,IF(AND(F21=H21,F22=N21),F17*N22,"errore/dati mancanti"))))))))))))</f>
        <v>0</v>
      </c>
      <c r="G23" s="246"/>
      <c r="H23" s="246"/>
      <c r="I23" s="246"/>
      <c r="J23" s="246"/>
      <c r="K23" s="246"/>
      <c r="L23" s="209"/>
      <c r="M23" s="246"/>
      <c r="N23" s="247"/>
    </row>
    <row r="24" spans="2:25" ht="24.75" customHeight="1">
      <c r="B24" s="253"/>
      <c r="C24" s="254"/>
      <c r="D24" s="44"/>
      <c r="E24" s="46"/>
      <c r="F24" s="255"/>
    </row>
    <row r="25" spans="2:25" ht="24.75" customHeight="1">
      <c r="B25" s="6" t="s">
        <v>260</v>
      </c>
      <c r="F25" s="533" t="s">
        <v>526</v>
      </c>
      <c r="K25" s="32"/>
    </row>
    <row r="26" spans="2:25" ht="24.75" customHeight="1">
      <c r="B26" s="45" t="s">
        <v>428</v>
      </c>
      <c r="C26" s="807" t="s">
        <v>92</v>
      </c>
      <c r="D26" s="808"/>
      <c r="E26" s="808"/>
      <c r="F26" s="533" t="s">
        <v>527</v>
      </c>
      <c r="K26" s="32"/>
    </row>
    <row r="27" spans="2:25" ht="24.75" customHeight="1">
      <c r="B27" s="45"/>
      <c r="C27" s="369" t="s">
        <v>336</v>
      </c>
      <c r="D27"/>
      <c r="E27"/>
      <c r="K27" s="32"/>
    </row>
    <row r="28" spans="2:25" ht="15" customHeight="1">
      <c r="B28" s="45"/>
      <c r="C28" s="387"/>
      <c r="D28"/>
      <c r="E28"/>
      <c r="K28" s="32"/>
    </row>
    <row r="29" spans="2:25" ht="24.75" customHeight="1">
      <c r="B29" s="872" t="s">
        <v>435</v>
      </c>
      <c r="C29" s="873"/>
      <c r="D29" s="873"/>
      <c r="E29" s="873"/>
      <c r="F29" s="873"/>
      <c r="G29" s="873"/>
      <c r="H29" s="873"/>
      <c r="I29" s="873"/>
      <c r="J29" s="873"/>
      <c r="K29" s="873"/>
      <c r="L29" s="874"/>
    </row>
    <row r="30" spans="2:25" ht="24.75" customHeight="1">
      <c r="B30" s="875"/>
      <c r="C30" s="876"/>
      <c r="D30" s="876"/>
      <c r="E30" s="876"/>
      <c r="F30" s="876"/>
      <c r="G30" s="876"/>
      <c r="H30" s="876"/>
      <c r="I30" s="876"/>
      <c r="J30" s="876"/>
      <c r="K30" s="876"/>
      <c r="L30" s="877"/>
    </row>
    <row r="31" spans="2:25" ht="24.75" customHeight="1">
      <c r="B31" s="227"/>
      <c r="D31" s="44"/>
      <c r="E31" s="44"/>
      <c r="F31" s="46"/>
      <c r="G31" s="44"/>
      <c r="H31" s="44"/>
      <c r="I31" s="44"/>
      <c r="J31" s="44"/>
      <c r="K31" s="44"/>
      <c r="L31" s="179"/>
    </row>
    <row r="32" spans="2:25" ht="24.75" customHeight="1">
      <c r="B32" s="632" t="s">
        <v>374</v>
      </c>
      <c r="C32" s="803"/>
      <c r="D32" s="47"/>
      <c r="E32" s="632" t="s">
        <v>93</v>
      </c>
      <c r="F32" s="804"/>
      <c r="G32" s="791" t="s">
        <v>94</v>
      </c>
      <c r="H32" s="792"/>
      <c r="I32" s="793"/>
      <c r="J32" s="48"/>
      <c r="K32" s="48"/>
      <c r="L32" s="232"/>
    </row>
    <row r="33" spans="2:12" ht="24.75" customHeight="1">
      <c r="B33" s="49"/>
      <c r="C33" s="50"/>
      <c r="D33" s="47"/>
      <c r="E33" s="51" t="s">
        <v>95</v>
      </c>
      <c r="F33" s="52" t="s">
        <v>96</v>
      </c>
      <c r="G33" s="794" t="s">
        <v>97</v>
      </c>
      <c r="H33" s="53" t="s">
        <v>98</v>
      </c>
      <c r="I33" s="54">
        <v>1</v>
      </c>
      <c r="J33" s="48"/>
      <c r="K33" s="48"/>
      <c r="L33" s="232"/>
    </row>
    <row r="34" spans="2:12" ht="24.75" customHeight="1">
      <c r="B34" s="55" t="s">
        <v>99</v>
      </c>
      <c r="C34" s="56">
        <v>0</v>
      </c>
      <c r="D34" s="47"/>
      <c r="E34" s="394" t="s">
        <v>474</v>
      </c>
      <c r="F34" s="256">
        <f>IF(F33=H33,AVERAGE(C34:C35)*I33,IF(F33=H34,AVERAGE(C34:C35)*I34,IF(F33=H35,AVERAGE(C34:C35)*I35,"errore o dati mancanti")))</f>
        <v>0</v>
      </c>
      <c r="G34" s="795"/>
      <c r="H34" s="53" t="s">
        <v>96</v>
      </c>
      <c r="I34" s="54">
        <v>1.3</v>
      </c>
      <c r="J34" s="48"/>
      <c r="K34" s="48"/>
      <c r="L34" s="232"/>
    </row>
    <row r="35" spans="2:12" ht="24.75" customHeight="1">
      <c r="B35" s="55" t="s">
        <v>100</v>
      </c>
      <c r="C35" s="56">
        <v>0</v>
      </c>
      <c r="D35" s="233"/>
      <c r="E35" s="395" t="s">
        <v>475</v>
      </c>
      <c r="F35" s="58"/>
      <c r="G35" s="796"/>
      <c r="H35" s="59" t="s">
        <v>101</v>
      </c>
      <c r="I35" s="54">
        <v>1.9</v>
      </c>
      <c r="J35" s="48"/>
      <c r="K35" s="48"/>
      <c r="L35" s="232"/>
    </row>
    <row r="36" spans="2:12" ht="24.75" customHeight="1">
      <c r="B36" s="49"/>
      <c r="C36" s="486" t="s">
        <v>362</v>
      </c>
      <c r="D36" s="47"/>
      <c r="E36" s="60"/>
      <c r="F36" s="60"/>
      <c r="G36" s="48"/>
      <c r="H36" s="61"/>
      <c r="I36" s="48"/>
      <c r="J36" s="48"/>
      <c r="K36" s="48"/>
      <c r="L36" s="232"/>
    </row>
    <row r="37" spans="2:12" ht="24.75" customHeight="1">
      <c r="B37" s="234" t="s">
        <v>259</v>
      </c>
      <c r="C37" s="63">
        <f>F41</f>
        <v>0</v>
      </c>
      <c r="D37" s="47"/>
      <c r="E37" s="797" t="s">
        <v>483</v>
      </c>
      <c r="F37" s="798"/>
      <c r="G37" s="794" t="s">
        <v>103</v>
      </c>
      <c r="H37" s="791" t="s">
        <v>499</v>
      </c>
      <c r="I37" s="792"/>
      <c r="J37" s="792"/>
      <c r="K37" s="792"/>
      <c r="L37" s="793"/>
    </row>
    <row r="38" spans="2:12" ht="24.75" customHeight="1">
      <c r="B38" s="71"/>
      <c r="C38" s="47"/>
      <c r="D38" s="47"/>
      <c r="E38" s="799"/>
      <c r="F38" s="800"/>
      <c r="G38" s="796"/>
      <c r="H38" s="64" t="s">
        <v>104</v>
      </c>
      <c r="I38" s="64" t="s">
        <v>105</v>
      </c>
      <c r="J38" s="64" t="s">
        <v>106</v>
      </c>
      <c r="K38" s="64" t="s">
        <v>107</v>
      </c>
      <c r="L38" s="64" t="s">
        <v>108</v>
      </c>
    </row>
    <row r="39" spans="2:12" ht="24.75" customHeight="1">
      <c r="B39" s="227"/>
      <c r="D39" s="47"/>
      <c r="E39" s="65" t="s">
        <v>109</v>
      </c>
      <c r="F39" s="66" t="s">
        <v>104</v>
      </c>
      <c r="G39" s="67" t="s">
        <v>104</v>
      </c>
      <c r="H39" s="54">
        <v>1</v>
      </c>
      <c r="I39" s="54">
        <v>0.95</v>
      </c>
      <c r="J39" s="54">
        <v>1.49</v>
      </c>
      <c r="K39" s="54">
        <v>0.95</v>
      </c>
      <c r="L39" s="54">
        <v>1.03</v>
      </c>
    </row>
    <row r="40" spans="2:12" ht="24.75" customHeight="1">
      <c r="B40" s="498" t="s">
        <v>358</v>
      </c>
      <c r="C40" s="69"/>
      <c r="D40" s="68"/>
      <c r="E40" s="65" t="s">
        <v>269</v>
      </c>
      <c r="F40" s="70" t="s">
        <v>104</v>
      </c>
      <c r="G40" s="67" t="s">
        <v>105</v>
      </c>
      <c r="H40" s="54">
        <v>1.05</v>
      </c>
      <c r="I40" s="54">
        <v>1</v>
      </c>
      <c r="J40" s="54">
        <v>1.57</v>
      </c>
      <c r="K40" s="54">
        <v>1.1399999999999999</v>
      </c>
      <c r="L40" s="54">
        <v>1.05</v>
      </c>
    </row>
    <row r="41" spans="2:12" ht="24.75" customHeight="1">
      <c r="B41" s="499" t="s">
        <v>359</v>
      </c>
      <c r="D41" s="68"/>
      <c r="E41" s="71"/>
      <c r="F41" s="256">
        <f>IF(AND(F39=G39,F40=H38),F34*H39,IF(AND(F39=G39,F40=I38),F34*I39,IF(AND(F39=G39,F40=J38),F34*J39,IF(AND(F39=G39,F40=K38),F34*K39,IF(AND(F39=G39,F40=L38),F34*L39,IF(AND(F39=G40,F40=H38),F34*H40,IF(AND(F39=G40,F40=I38),F34*I40,IF(AND(F39=G40,F40=J38),F34*J40,IF(AND(F39=G40,F40=K38),F34*K40,IF(AND(F39=G40,F40=L38),F34*L40,IF(AND(F39=G41,F40=H38),F34*H41,IF(AND(F39=G41,F40=I38),F34*I41,IF(AND(F39=G41,F40=J38),F34*J41,IF(AND(F39=G41,F40=K38),F34*K41,IF(AND(F39=G41,F40=L38),F34*L41,IF(AND(F39=G42,F40=H38),F34*H42,IF(AND(F39=G42,F40=I38),F34*I42,IF(AND(F39=G42,F40=J38),F34*J42,IF(AND(F39=G42,F40=K38),F34*K42,IF(AND(F39=G42,F40=L38),F34*L42,IF(AND(F39=G43,F40=H38),F34*H43,IF(AND(F39=G43,F40=I38),F34*I43,IF(AND(F39=G43,F40=J38),F34*J43,IF(AND(F39=G43,F40=K38),F34*K43,IF(AND(F39=G43,F40=L38),F34*L43,"errore o dati mancanti")))))))))))))))))))))))))</f>
        <v>0</v>
      </c>
      <c r="G41" s="67" t="s">
        <v>106</v>
      </c>
      <c r="H41" s="54">
        <v>0.67</v>
      </c>
      <c r="I41" s="54">
        <v>0.64</v>
      </c>
      <c r="J41" s="54">
        <v>1</v>
      </c>
      <c r="K41" s="54">
        <v>0.63</v>
      </c>
      <c r="L41" s="54">
        <v>0.69</v>
      </c>
    </row>
    <row r="42" spans="2:12" ht="24.75" customHeight="1">
      <c r="B42" s="71"/>
      <c r="C42" s="47"/>
      <c r="D42" s="47"/>
      <c r="E42" s="72"/>
      <c r="F42" s="60"/>
      <c r="G42" s="67" t="s">
        <v>107</v>
      </c>
      <c r="H42" s="54">
        <v>1.0900000000000001</v>
      </c>
      <c r="I42" s="54">
        <v>0.88</v>
      </c>
      <c r="J42" s="54">
        <v>1.61</v>
      </c>
      <c r="K42" s="54">
        <v>1</v>
      </c>
      <c r="L42" s="54">
        <v>1.19</v>
      </c>
    </row>
    <row r="43" spans="2:12" ht="24.75" customHeight="1">
      <c r="B43" s="235"/>
      <c r="C43" s="236"/>
      <c r="D43" s="236"/>
      <c r="E43" s="73"/>
      <c r="F43" s="58"/>
      <c r="G43" s="74" t="s">
        <v>108</v>
      </c>
      <c r="H43" s="54">
        <v>0.97</v>
      </c>
      <c r="I43" s="54">
        <v>0.95</v>
      </c>
      <c r="J43" s="54">
        <v>1.45</v>
      </c>
      <c r="K43" s="54">
        <v>0.84</v>
      </c>
      <c r="L43" s="54">
        <v>1</v>
      </c>
    </row>
    <row r="44" spans="2:12" ht="24.75" customHeight="1">
      <c r="B44" s="47"/>
      <c r="C44" s="47"/>
      <c r="D44" s="47"/>
      <c r="E44" s="237"/>
      <c r="F44" s="60"/>
      <c r="G44" s="238"/>
      <c r="H44" s="131"/>
      <c r="I44" s="131"/>
      <c r="J44" s="131"/>
      <c r="K44" s="131"/>
      <c r="L44" s="131"/>
    </row>
    <row r="45" spans="2:12" ht="24.75" customHeight="1">
      <c r="B45" s="6" t="s">
        <v>261</v>
      </c>
      <c r="C45" s="47"/>
      <c r="D45" s="47"/>
      <c r="E45" s="237"/>
      <c r="F45" s="60"/>
      <c r="G45" s="238"/>
      <c r="H45" s="131"/>
      <c r="I45" s="131"/>
      <c r="J45" s="131"/>
      <c r="K45" s="131"/>
      <c r="L45" s="131"/>
    </row>
    <row r="46" spans="2:12" ht="15" customHeight="1">
      <c r="B46" s="6"/>
      <c r="C46" s="47"/>
      <c r="D46" s="47"/>
      <c r="E46" s="237"/>
      <c r="F46" s="60"/>
      <c r="G46" s="238"/>
      <c r="H46" s="131"/>
      <c r="I46" s="131"/>
      <c r="J46" s="131"/>
      <c r="K46" s="131"/>
      <c r="L46" s="131"/>
    </row>
    <row r="47" spans="2:12" ht="24.75" customHeight="1">
      <c r="B47" s="248" t="s">
        <v>256</v>
      </c>
      <c r="C47" s="249">
        <f>IF((C37-C23)*0.475&lt;0,0,(C37-C23)*0.475)</f>
        <v>0</v>
      </c>
      <c r="D47" s="47"/>
      <c r="E47" s="237"/>
      <c r="F47" s="60"/>
      <c r="G47" s="238"/>
      <c r="H47" s="131"/>
      <c r="I47" s="131"/>
      <c r="J47" s="131"/>
      <c r="K47" s="131"/>
      <c r="L47" s="131"/>
    </row>
    <row r="48" spans="2:12" ht="24.95" customHeight="1">
      <c r="B48" s="228"/>
      <c r="C48" s="229"/>
      <c r="D48" s="229"/>
      <c r="E48" s="229"/>
      <c r="F48" s="229"/>
      <c r="G48" s="229"/>
      <c r="H48" s="229"/>
      <c r="I48" s="5"/>
    </row>
    <row r="49" spans="2:11" ht="24.95" customHeight="1">
      <c r="B49" s="6" t="s">
        <v>265</v>
      </c>
    </row>
    <row r="50" spans="2:11" ht="24.95" customHeight="1">
      <c r="B50" s="7" t="s">
        <v>26</v>
      </c>
    </row>
    <row r="51" spans="2:11" s="9" customFormat="1" ht="15" customHeight="1">
      <c r="B51" s="8" t="s">
        <v>27</v>
      </c>
      <c r="C51" s="8" t="s">
        <v>28</v>
      </c>
      <c r="D51" s="8" t="s">
        <v>29</v>
      </c>
      <c r="E51" s="8" t="s">
        <v>30</v>
      </c>
      <c r="F51" s="8" t="s">
        <v>31</v>
      </c>
      <c r="G51" s="8" t="s">
        <v>32</v>
      </c>
      <c r="H51" s="4"/>
    </row>
    <row r="52" spans="2:11" s="9" customFormat="1" ht="15" customHeight="1">
      <c r="B52" s="10" t="s">
        <v>3</v>
      </c>
      <c r="C52" s="10" t="s">
        <v>33</v>
      </c>
      <c r="D52" s="10" t="s">
        <v>3</v>
      </c>
      <c r="E52" s="10" t="s">
        <v>34</v>
      </c>
      <c r="F52" s="10"/>
      <c r="G52" s="10" t="s">
        <v>35</v>
      </c>
      <c r="H52" s="4"/>
    </row>
    <row r="53" spans="2:11" s="12" customFormat="1" ht="15" customHeight="1">
      <c r="B53" s="11" t="s">
        <v>36</v>
      </c>
      <c r="C53" s="11" t="s">
        <v>37</v>
      </c>
      <c r="D53" s="11" t="s">
        <v>38</v>
      </c>
      <c r="E53" s="11" t="s">
        <v>39</v>
      </c>
      <c r="F53" s="11" t="s">
        <v>40</v>
      </c>
      <c r="G53" s="11" t="s">
        <v>41</v>
      </c>
      <c r="H53" s="4"/>
    </row>
    <row r="54" spans="2:11" s="9" customFormat="1" ht="15" customHeight="1">
      <c r="B54" s="462" t="s">
        <v>42</v>
      </c>
      <c r="C54" s="13">
        <v>0</v>
      </c>
      <c r="D54" s="14">
        <v>0</v>
      </c>
      <c r="E54" s="15" t="e">
        <f>D54/D59</f>
        <v>#DIV/0!</v>
      </c>
      <c r="F54" s="16">
        <v>0</v>
      </c>
      <c r="G54" s="17" t="e">
        <f>E54*F54</f>
        <v>#DIV/0!</v>
      </c>
      <c r="H54" s="4"/>
      <c r="J54" s="4"/>
    </row>
    <row r="55" spans="2:11" s="9" customFormat="1" ht="15" customHeight="1">
      <c r="B55" s="462" t="s">
        <v>43</v>
      </c>
      <c r="C55" s="13">
        <v>0</v>
      </c>
      <c r="D55" s="14">
        <v>0</v>
      </c>
      <c r="E55" s="15" t="e">
        <f>D55/D59</f>
        <v>#DIV/0!</v>
      </c>
      <c r="F55" s="16">
        <v>5</v>
      </c>
      <c r="G55" s="17" t="e">
        <f>E55*F55</f>
        <v>#DIV/0!</v>
      </c>
      <c r="H55" s="4"/>
      <c r="J55" s="4"/>
    </row>
    <row r="56" spans="2:11" s="9" customFormat="1" ht="15" customHeight="1">
      <c r="B56" s="462" t="s">
        <v>44</v>
      </c>
      <c r="C56" s="13">
        <v>0</v>
      </c>
      <c r="D56" s="14">
        <v>0</v>
      </c>
      <c r="E56" s="15" t="e">
        <f>D56/D59</f>
        <v>#DIV/0!</v>
      </c>
      <c r="F56" s="16">
        <v>15</v>
      </c>
      <c r="G56" s="17" t="e">
        <f>E56*F56</f>
        <v>#DIV/0!</v>
      </c>
      <c r="H56" s="4"/>
      <c r="J56" s="4"/>
    </row>
    <row r="57" spans="2:11" s="9" customFormat="1" ht="15" customHeight="1">
      <c r="B57" s="462" t="s">
        <v>45</v>
      </c>
      <c r="C57" s="13">
        <v>0</v>
      </c>
      <c r="D57" s="14">
        <v>0</v>
      </c>
      <c r="E57" s="15" t="e">
        <f>D57/D59</f>
        <v>#DIV/0!</v>
      </c>
      <c r="F57" s="16">
        <v>30</v>
      </c>
      <c r="G57" s="17" t="e">
        <f>E57*F57</f>
        <v>#DIV/0!</v>
      </c>
      <c r="H57" s="4"/>
      <c r="J57" s="4"/>
    </row>
    <row r="58" spans="2:11" s="9" customFormat="1" ht="15" customHeight="1" thickBot="1">
      <c r="B58" s="462" t="s">
        <v>46</v>
      </c>
      <c r="C58" s="13">
        <v>0</v>
      </c>
      <c r="D58" s="14">
        <v>0</v>
      </c>
      <c r="E58" s="15" t="e">
        <f>D58/D59</f>
        <v>#DIV/0!</v>
      </c>
      <c r="F58" s="16">
        <v>50</v>
      </c>
      <c r="G58" s="18" t="e">
        <f>E58*F58</f>
        <v>#DIV/0!</v>
      </c>
      <c r="H58" s="4"/>
      <c r="J58" s="4"/>
    </row>
    <row r="59" spans="2:11" s="9" customFormat="1" ht="15" customHeight="1" thickBot="1">
      <c r="B59" s="4"/>
      <c r="C59" s="19" t="s">
        <v>47</v>
      </c>
      <c r="D59" s="20">
        <f>SUM(D54:D58)</f>
        <v>0</v>
      </c>
      <c r="E59" s="4"/>
      <c r="F59" s="4"/>
      <c r="G59" s="21" t="s">
        <v>48</v>
      </c>
      <c r="H59" s="22">
        <f>IFERROR(SUM(G54:G58),0)</f>
        <v>0</v>
      </c>
      <c r="J59" s="4"/>
    </row>
    <row r="60" spans="2:11" ht="24.95" customHeight="1">
      <c r="B60" s="7" t="s">
        <v>49</v>
      </c>
    </row>
    <row r="61" spans="2:11" s="9" customFormat="1" ht="15" customHeight="1">
      <c r="B61" s="23" t="s">
        <v>50</v>
      </c>
      <c r="C61" s="24">
        <f>D59</f>
        <v>0</v>
      </c>
      <c r="D61" s="818" t="s">
        <v>51</v>
      </c>
      <c r="E61" s="819"/>
      <c r="F61" s="820" t="s">
        <v>52</v>
      </c>
      <c r="G61" s="823" t="s">
        <v>53</v>
      </c>
      <c r="H61" s="4"/>
      <c r="J61" s="4"/>
    </row>
    <row r="62" spans="2:11" s="9" customFormat="1" ht="15" customHeight="1">
      <c r="B62" s="23" t="s">
        <v>54</v>
      </c>
      <c r="C62" s="14">
        <v>0</v>
      </c>
      <c r="D62" s="818"/>
      <c r="E62" s="819"/>
      <c r="F62" s="821"/>
      <c r="G62" s="824" t="s">
        <v>53</v>
      </c>
      <c r="H62" s="4"/>
      <c r="J62" s="4"/>
      <c r="K62" s="25"/>
    </row>
    <row r="63" spans="2:11" s="9" customFormat="1" ht="15" customHeight="1">
      <c r="B63" s="26" t="s">
        <v>55</v>
      </c>
      <c r="C63" s="27">
        <f>C61+C62*0.6</f>
        <v>0</v>
      </c>
      <c r="D63" s="818"/>
      <c r="E63" s="819"/>
      <c r="F63" s="822"/>
      <c r="G63" s="825"/>
      <c r="H63" s="4"/>
      <c r="J63" s="4"/>
      <c r="K63" s="25"/>
    </row>
    <row r="64" spans="2:11" ht="15" customHeight="1">
      <c r="B64" s="23" t="s">
        <v>56</v>
      </c>
      <c r="C64" s="16">
        <f>IFERROR(C62/C61*100,0)</f>
        <v>0</v>
      </c>
      <c r="D64" s="805" t="s">
        <v>57</v>
      </c>
      <c r="E64" s="806"/>
      <c r="F64" s="16" t="str">
        <f>IF(C64&lt;=50,"1","0")</f>
        <v>1</v>
      </c>
      <c r="G64" s="16">
        <v>0</v>
      </c>
      <c r="I64" s="9"/>
      <c r="K64" s="25"/>
    </row>
    <row r="65" spans="2:11" ht="15" customHeight="1">
      <c r="B65" s="28"/>
      <c r="C65" s="29"/>
      <c r="D65" s="805" t="s">
        <v>58</v>
      </c>
      <c r="E65" s="806"/>
      <c r="F65" s="16" t="str">
        <f>IF(AND(C64&gt;50,C64&lt;=75),"1","0")</f>
        <v>0</v>
      </c>
      <c r="G65" s="16">
        <v>10</v>
      </c>
      <c r="I65" s="9"/>
      <c r="K65" s="25"/>
    </row>
    <row r="66" spans="2:11" ht="15" customHeight="1" thickBot="1">
      <c r="B66" s="480" t="s">
        <v>469</v>
      </c>
      <c r="C66" s="30"/>
      <c r="D66" s="805" t="s">
        <v>59</v>
      </c>
      <c r="E66" s="806"/>
      <c r="F66" s="16" t="str">
        <f>IF(AND(C64&gt;75,C64&lt;=100),"1","0")</f>
        <v>0</v>
      </c>
      <c r="G66" s="16">
        <v>20</v>
      </c>
      <c r="I66" s="9"/>
      <c r="K66" s="25"/>
    </row>
    <row r="67" spans="2:11" ht="15" customHeight="1" thickBot="1">
      <c r="B67" s="480" t="s">
        <v>471</v>
      </c>
      <c r="C67" s="30"/>
      <c r="D67" s="805" t="s">
        <v>60</v>
      </c>
      <c r="E67" s="806"/>
      <c r="F67" s="16" t="str">
        <f>IF(C64&gt;100,"1","0")</f>
        <v>0</v>
      </c>
      <c r="G67" s="31">
        <v>30</v>
      </c>
      <c r="H67" s="22">
        <f>IFERROR(F64*G64+F65*G65+F66*G66+F67*G67,0)</f>
        <v>0</v>
      </c>
      <c r="I67" s="9"/>
      <c r="K67" s="25"/>
    </row>
    <row r="68" spans="2:11" ht="24.95" customHeight="1">
      <c r="D68" s="480"/>
      <c r="I68" s="9"/>
      <c r="K68" s="25"/>
    </row>
    <row r="69" spans="2:11" ht="24.95" customHeight="1">
      <c r="B69" s="6" t="s">
        <v>262</v>
      </c>
      <c r="K69" s="32"/>
    </row>
    <row r="70" spans="2:11" ht="24.95" customHeight="1" thickBot="1">
      <c r="B70" s="7" t="s">
        <v>62</v>
      </c>
    </row>
    <row r="71" spans="2:11" s="12" customFormat="1" ht="15" customHeight="1" thickBot="1">
      <c r="B71" s="33" t="s">
        <v>63</v>
      </c>
      <c r="C71" s="34">
        <f>H67+H59</f>
        <v>0</v>
      </c>
      <c r="D71" s="35" t="s">
        <v>64</v>
      </c>
      <c r="E71" s="36" t="str">
        <f>ROMAN(H116)</f>
        <v>I</v>
      </c>
      <c r="F71" s="35" t="s">
        <v>65</v>
      </c>
      <c r="G71" s="37">
        <f>E117*D117+E118*D118+E119*D119+E120*D120+E121*D121+E122*D122+E123*D123+E124*D124+E125*D125+E126*D126+E127*D127</f>
        <v>0</v>
      </c>
      <c r="H71" s="4"/>
      <c r="K71" s="38"/>
    </row>
    <row r="72" spans="2:11" ht="15" customHeight="1">
      <c r="B72" s="39"/>
      <c r="K72" s="32"/>
    </row>
    <row r="73" spans="2:11" ht="15" customHeight="1">
      <c r="B73" s="40" t="s">
        <v>66</v>
      </c>
      <c r="C73" s="40" t="s">
        <v>67</v>
      </c>
      <c r="D73" s="40" t="s">
        <v>66</v>
      </c>
      <c r="E73" s="40" t="s">
        <v>67</v>
      </c>
    </row>
    <row r="74" spans="2:11" ht="15" customHeight="1">
      <c r="B74" s="41" t="s">
        <v>68</v>
      </c>
      <c r="C74" s="42" t="s">
        <v>69</v>
      </c>
      <c r="D74" s="41" t="s">
        <v>70</v>
      </c>
      <c r="E74" s="42" t="s">
        <v>71</v>
      </c>
    </row>
    <row r="75" spans="2:11" ht="15" customHeight="1">
      <c r="B75" s="41" t="s">
        <v>72</v>
      </c>
      <c r="C75" s="42" t="s">
        <v>73</v>
      </c>
      <c r="D75" s="41" t="s">
        <v>74</v>
      </c>
      <c r="E75" s="42" t="s">
        <v>75</v>
      </c>
    </row>
    <row r="76" spans="2:11" ht="15" customHeight="1">
      <c r="B76" s="41" t="s">
        <v>76</v>
      </c>
      <c r="C76" s="42" t="s">
        <v>77</v>
      </c>
      <c r="D76" s="41" t="s">
        <v>78</v>
      </c>
      <c r="E76" s="42" t="s">
        <v>79</v>
      </c>
    </row>
    <row r="77" spans="2:11" ht="15" customHeight="1">
      <c r="B77" s="41" t="s">
        <v>80</v>
      </c>
      <c r="C77" s="42" t="s">
        <v>81</v>
      </c>
      <c r="D77" s="41" t="s">
        <v>82</v>
      </c>
      <c r="E77" s="42" t="s">
        <v>83</v>
      </c>
    </row>
    <row r="78" spans="2:11" ht="15" customHeight="1">
      <c r="B78" s="41" t="s">
        <v>84</v>
      </c>
      <c r="C78" s="42" t="s">
        <v>85</v>
      </c>
      <c r="D78" s="41" t="s">
        <v>86</v>
      </c>
      <c r="E78" s="42" t="s">
        <v>87</v>
      </c>
    </row>
    <row r="79" spans="2:11" ht="15" customHeight="1">
      <c r="B79" s="41" t="s">
        <v>88</v>
      </c>
      <c r="C79" s="42" t="s">
        <v>89</v>
      </c>
      <c r="D79" s="28"/>
      <c r="E79" s="28"/>
      <c r="F79" s="43"/>
    </row>
    <row r="80" spans="2:11" ht="24.75" customHeight="1"/>
    <row r="81" spans="2:11" ht="24.75" customHeight="1">
      <c r="B81" s="6" t="s">
        <v>263</v>
      </c>
    </row>
    <row r="82" spans="2:11" ht="24.75" customHeight="1">
      <c r="B82" s="75" t="s">
        <v>114</v>
      </c>
      <c r="C82" s="76">
        <f>C47*(100+G71)/100</f>
        <v>0</v>
      </c>
      <c r="D82" s="77" t="s">
        <v>111</v>
      </c>
    </row>
    <row r="83" spans="2:11" ht="24.75" customHeight="1">
      <c r="B83" s="44" t="s">
        <v>115</v>
      </c>
      <c r="E83" s="78"/>
      <c r="G83" s="79"/>
    </row>
    <row r="84" spans="2:11" ht="24.75" customHeight="1">
      <c r="B84" s="80" t="s">
        <v>116</v>
      </c>
    </row>
    <row r="85" spans="2:11" ht="24.75" customHeight="1">
      <c r="B85" s="80" t="s">
        <v>117</v>
      </c>
    </row>
    <row r="86" spans="2:11" ht="24.75" customHeight="1" thickBot="1"/>
    <row r="87" spans="2:11" ht="24.75" customHeight="1">
      <c r="B87" s="81" t="s">
        <v>264</v>
      </c>
      <c r="C87" s="82"/>
      <c r="D87" s="82"/>
      <c r="E87" s="82"/>
      <c r="F87" s="83"/>
      <c r="G87" s="83"/>
      <c r="H87" s="84"/>
    </row>
    <row r="88" spans="2:11" ht="24.75" customHeight="1">
      <c r="B88" s="85" t="s">
        <v>119</v>
      </c>
      <c r="F88" s="86"/>
      <c r="G88" s="86"/>
      <c r="H88" s="87"/>
    </row>
    <row r="89" spans="2:11" s="44" customFormat="1" ht="24.75" customHeight="1">
      <c r="B89" s="88"/>
      <c r="F89" s="89"/>
      <c r="G89" s="75" t="s">
        <v>121</v>
      </c>
      <c r="H89" s="90">
        <f>H99</f>
        <v>0</v>
      </c>
    </row>
    <row r="90" spans="2:11" ht="24.75" customHeight="1">
      <c r="B90" s="91" t="s">
        <v>115</v>
      </c>
      <c r="H90" s="92"/>
      <c r="K90" s="93"/>
    </row>
    <row r="91" spans="2:11" ht="24.75" customHeight="1">
      <c r="B91" s="94" t="s">
        <v>122</v>
      </c>
      <c r="H91" s="92"/>
    </row>
    <row r="92" spans="2:11" ht="24.75" customHeight="1">
      <c r="B92" s="94" t="s">
        <v>123</v>
      </c>
      <c r="H92" s="95"/>
    </row>
    <row r="93" spans="2:11" ht="24.75" customHeight="1">
      <c r="B93" s="801" t="s">
        <v>124</v>
      </c>
      <c r="C93" s="802"/>
      <c r="D93" s="802"/>
      <c r="E93" s="802"/>
      <c r="F93" s="802"/>
      <c r="G93" s="802"/>
      <c r="H93" s="96"/>
    </row>
    <row r="94" spans="2:11" s="44" customFormat="1" ht="24.75" customHeight="1">
      <c r="B94" s="88"/>
      <c r="C94" s="97" t="s">
        <v>125</v>
      </c>
      <c r="D94" s="98" t="s">
        <v>126</v>
      </c>
      <c r="E94" s="75" t="s">
        <v>127</v>
      </c>
      <c r="F94" s="77">
        <f>IF(D94="SI",20,IF(D94="NO",H114))</f>
        <v>5</v>
      </c>
      <c r="G94" s="99">
        <v>0</v>
      </c>
      <c r="H94" s="100" t="s">
        <v>126</v>
      </c>
      <c r="J94" s="389"/>
    </row>
    <row r="95" spans="2:11" ht="24.75" customHeight="1">
      <c r="B95" s="94" t="s">
        <v>128</v>
      </c>
      <c r="C95" s="101"/>
      <c r="D95" s="101"/>
      <c r="E95" s="101"/>
      <c r="F95" s="102"/>
      <c r="G95" s="99">
        <v>35</v>
      </c>
      <c r="H95" s="100" t="s">
        <v>129</v>
      </c>
    </row>
    <row r="96" spans="2:11" ht="50.1" customHeight="1">
      <c r="B96" s="788" t="s">
        <v>532</v>
      </c>
      <c r="C96" s="870"/>
      <c r="D96" s="870"/>
      <c r="E96" s="870"/>
      <c r="F96" s="870"/>
      <c r="G96" s="871"/>
      <c r="H96" s="517" t="s">
        <v>126</v>
      </c>
    </row>
    <row r="97" spans="2:11" ht="24.75" customHeight="1" thickBot="1">
      <c r="B97" s="103"/>
      <c r="C97" s="104"/>
      <c r="D97" s="104"/>
      <c r="E97" s="104"/>
      <c r="F97" s="104"/>
      <c r="G97" s="104"/>
      <c r="H97" s="105"/>
    </row>
    <row r="98" spans="2:11" ht="30" customHeight="1" thickBot="1">
      <c r="B98" s="106"/>
      <c r="C98" s="107" t="s">
        <v>130</v>
      </c>
      <c r="D98" s="466">
        <f>IF(H96="SI",D100,IF(H96="NO",D99))</f>
        <v>0</v>
      </c>
      <c r="E98" s="108"/>
      <c r="F98" s="109"/>
      <c r="G98" s="110"/>
      <c r="H98" s="111"/>
      <c r="K98" s="112"/>
    </row>
    <row r="99" spans="2:11" s="113" customFormat="1" ht="24.75" hidden="1" customHeight="1">
      <c r="C99" s="114" t="s">
        <v>131</v>
      </c>
      <c r="D99" s="115">
        <f>(H89*C63*(1-0/100))</f>
        <v>0</v>
      </c>
      <c r="E99" s="116"/>
      <c r="G99" s="117"/>
      <c r="H99" s="118">
        <f>C82*F94/100</f>
        <v>0</v>
      </c>
      <c r="K99" s="119"/>
    </row>
    <row r="100" spans="2:11" s="113" customFormat="1" ht="24.75" hidden="1" customHeight="1">
      <c r="C100" s="114" t="s">
        <v>131</v>
      </c>
      <c r="D100" s="115">
        <f>(H89*C63*(1-0/100))*(1-G95/100)</f>
        <v>0</v>
      </c>
      <c r="E100" s="116"/>
      <c r="G100" s="117"/>
      <c r="H100" s="118"/>
      <c r="K100" s="119"/>
    </row>
    <row r="101" spans="2:11" s="113" customFormat="1" ht="24.75" customHeight="1">
      <c r="C101" s="114"/>
      <c r="D101" s="115"/>
      <c r="E101" s="116"/>
      <c r="G101" s="117"/>
      <c r="H101" s="204" t="s">
        <v>360</v>
      </c>
      <c r="K101" s="119"/>
    </row>
    <row r="102" spans="2:11" s="360" customFormat="1">
      <c r="B102" s="361" t="s">
        <v>132</v>
      </c>
      <c r="H102" s="204" t="s">
        <v>361</v>
      </c>
    </row>
    <row r="103" spans="2:11" s="360" customFormat="1" ht="22.5" customHeight="1">
      <c r="B103" s="362" t="s">
        <v>133</v>
      </c>
      <c r="C103" s="362" t="s">
        <v>134</v>
      </c>
      <c r="D103" s="362" t="s">
        <v>52</v>
      </c>
    </row>
    <row r="104" spans="2:11" s="360" customFormat="1">
      <c r="B104" s="362" t="s">
        <v>135</v>
      </c>
      <c r="C104" s="362">
        <v>5</v>
      </c>
      <c r="D104" s="362" t="str">
        <f>IF(C82&lt;=500,"1","0")</f>
        <v>1</v>
      </c>
    </row>
    <row r="105" spans="2:11" s="360" customFormat="1">
      <c r="B105" s="362" t="s">
        <v>136</v>
      </c>
      <c r="C105" s="362">
        <v>6</v>
      </c>
      <c r="D105" s="362" t="str">
        <f>IF(AND(C82&gt;500,C82&lt;=1000),"1","0")</f>
        <v>0</v>
      </c>
    </row>
    <row r="106" spans="2:11" s="360" customFormat="1">
      <c r="B106" s="362" t="s">
        <v>137</v>
      </c>
      <c r="C106" s="362">
        <v>7</v>
      </c>
      <c r="D106" s="362" t="str">
        <f>IF(AND(C82&gt;1000,C82&lt;=1500),"1","0")</f>
        <v>0</v>
      </c>
    </row>
    <row r="107" spans="2:11" s="360" customFormat="1">
      <c r="B107" s="362" t="s">
        <v>138</v>
      </c>
      <c r="C107" s="362">
        <v>8</v>
      </c>
      <c r="D107" s="362" t="str">
        <f>IF(AND(C82&gt;1500,C82&lt;=2000),"1","0")</f>
        <v>0</v>
      </c>
    </row>
    <row r="108" spans="2:11" s="360" customFormat="1">
      <c r="B108" s="362" t="s">
        <v>139</v>
      </c>
      <c r="C108" s="362">
        <v>9</v>
      </c>
      <c r="D108" s="362" t="str">
        <f>IF(AND(C82&gt;2000,C82&lt;=2500),"1","0")</f>
        <v>0</v>
      </c>
    </row>
    <row r="109" spans="2:11" s="360" customFormat="1">
      <c r="B109" s="362" t="s">
        <v>140</v>
      </c>
      <c r="C109" s="362">
        <v>10</v>
      </c>
      <c r="D109" s="362" t="str">
        <f>IF(AND(C82&gt;2500,C82&lt;=3000),"1","0")</f>
        <v>0</v>
      </c>
    </row>
    <row r="110" spans="2:11" s="360" customFormat="1">
      <c r="B110" s="362" t="s">
        <v>141</v>
      </c>
      <c r="C110" s="362">
        <v>11</v>
      </c>
      <c r="D110" s="362" t="str">
        <f>IF(AND(C82&gt;3000,C82&lt;=3500),"1","0")</f>
        <v>0</v>
      </c>
    </row>
    <row r="111" spans="2:11" s="360" customFormat="1">
      <c r="B111" s="362" t="s">
        <v>142</v>
      </c>
      <c r="C111" s="362">
        <v>12</v>
      </c>
      <c r="D111" s="362" t="str">
        <f>IF(AND(C82&gt;3500,C82&lt;=4000),"1","0")</f>
        <v>0</v>
      </c>
    </row>
    <row r="112" spans="2:11" s="360" customFormat="1">
      <c r="B112" s="362" t="s">
        <v>143</v>
      </c>
      <c r="C112" s="362">
        <v>13</v>
      </c>
      <c r="D112" s="362" t="str">
        <f>IF(AND(C82&gt;4000,C82&lt;=4500),"1","0")</f>
        <v>0</v>
      </c>
    </row>
    <row r="113" spans="2:9" s="360" customFormat="1">
      <c r="B113" s="362" t="s">
        <v>144</v>
      </c>
      <c r="C113" s="362">
        <v>14</v>
      </c>
      <c r="D113" s="362" t="str">
        <f>IF(C82&gt;4500,"1","0")</f>
        <v>0</v>
      </c>
    </row>
    <row r="114" spans="2:9" s="360" customFormat="1">
      <c r="B114" s="363"/>
      <c r="C114" s="363"/>
      <c r="D114" s="363"/>
      <c r="G114" s="364" t="s">
        <v>127</v>
      </c>
      <c r="H114" s="364">
        <f>C104*D104+C105*D105+C106*D106+C107*D107+C108*D108+C109*D109+C110*D110+C111*D111+C112*D112+C113*D113</f>
        <v>5</v>
      </c>
    </row>
    <row r="115" spans="2:9" s="360" customFormat="1" ht="10.5" customHeight="1"/>
    <row r="116" spans="2:9" s="360" customFormat="1">
      <c r="B116" s="362" t="s">
        <v>66</v>
      </c>
      <c r="C116" s="362" t="s">
        <v>145</v>
      </c>
      <c r="D116" s="362" t="s">
        <v>146</v>
      </c>
      <c r="E116" s="362" t="s">
        <v>52</v>
      </c>
      <c r="G116" s="365" t="s">
        <v>64</v>
      </c>
      <c r="H116" s="364">
        <f>E117*C117+E118*C118+E119*C119+E120*C120+E121*C121+E122*C122+E123*C123+E124*C124+E125*C125+E126*C126+E127*C127</f>
        <v>1</v>
      </c>
    </row>
    <row r="117" spans="2:9" s="360" customFormat="1">
      <c r="B117" s="366" t="s">
        <v>68</v>
      </c>
      <c r="C117" s="367">
        <v>1</v>
      </c>
      <c r="D117" s="367">
        <v>0</v>
      </c>
      <c r="E117" s="367" t="str">
        <f>IF(C71&lt;=5,"1","0")</f>
        <v>1</v>
      </c>
      <c r="G117" s="365" t="s">
        <v>65</v>
      </c>
      <c r="H117" s="368">
        <f>E117*D117+E118*D118+E119*D119+E120*D120+E121*D121+E122*D122+E123*D123+E124*D124+E125*D125+E126*D126+E127*D127</f>
        <v>0</v>
      </c>
    </row>
    <row r="118" spans="2:9" s="360" customFormat="1">
      <c r="B118" s="366" t="s">
        <v>72</v>
      </c>
      <c r="C118" s="367">
        <v>2</v>
      </c>
      <c r="D118" s="367">
        <v>5</v>
      </c>
      <c r="E118" s="367" t="str">
        <f>IF(AND(C71&gt;5,C71&lt;=10),"1","0")</f>
        <v>0</v>
      </c>
    </row>
    <row r="119" spans="2:9" s="360" customFormat="1">
      <c r="B119" s="366" t="s">
        <v>76</v>
      </c>
      <c r="C119" s="367">
        <v>3</v>
      </c>
      <c r="D119" s="367">
        <v>10</v>
      </c>
      <c r="E119" s="367" t="str">
        <f>IF(AND(C71&gt;10,C71&lt;=15),"1","0")</f>
        <v>0</v>
      </c>
    </row>
    <row r="120" spans="2:9" s="360" customFormat="1">
      <c r="B120" s="366" t="s">
        <v>80</v>
      </c>
      <c r="C120" s="367">
        <v>4</v>
      </c>
      <c r="D120" s="367">
        <v>15</v>
      </c>
      <c r="E120" s="367" t="str">
        <f>IF(AND(C71&gt;15,C71&lt;=20),"1","0")</f>
        <v>0</v>
      </c>
    </row>
    <row r="121" spans="2:9" s="360" customFormat="1">
      <c r="B121" s="366" t="s">
        <v>84</v>
      </c>
      <c r="C121" s="367">
        <v>5</v>
      </c>
      <c r="D121" s="367">
        <v>20</v>
      </c>
      <c r="E121" s="367" t="str">
        <f>IF(AND(C71&gt;20,C71&lt;=25),"1","0")</f>
        <v>0</v>
      </c>
    </row>
    <row r="122" spans="2:9" s="360" customFormat="1">
      <c r="B122" s="366" t="s">
        <v>88</v>
      </c>
      <c r="C122" s="367">
        <v>6</v>
      </c>
      <c r="D122" s="367">
        <v>25</v>
      </c>
      <c r="E122" s="367" t="str">
        <f>IF(AND(C71&gt;25,C71&lt;=30),"1","0")</f>
        <v>0</v>
      </c>
    </row>
    <row r="123" spans="2:9" s="360" customFormat="1">
      <c r="B123" s="366" t="s">
        <v>70</v>
      </c>
      <c r="C123" s="367">
        <v>7</v>
      </c>
      <c r="D123" s="367">
        <v>30</v>
      </c>
      <c r="E123" s="367" t="str">
        <f>IF(AND(C71&gt;30,C71&lt;=35),"1","0")</f>
        <v>0</v>
      </c>
    </row>
    <row r="124" spans="2:9" s="360" customFormat="1">
      <c r="B124" s="366" t="s">
        <v>74</v>
      </c>
      <c r="C124" s="367">
        <v>8</v>
      </c>
      <c r="D124" s="367">
        <v>35</v>
      </c>
      <c r="E124" s="367" t="str">
        <f>IF(AND(C71&gt;35,C71&lt;=40),"1","0")</f>
        <v>0</v>
      </c>
    </row>
    <row r="125" spans="2:9" s="360" customFormat="1">
      <c r="B125" s="366" t="s">
        <v>78</v>
      </c>
      <c r="C125" s="367">
        <v>9</v>
      </c>
      <c r="D125" s="367">
        <v>40</v>
      </c>
      <c r="E125" s="367" t="str">
        <f>IF(AND(C71&gt;40,C71&lt;=45),"1","0")</f>
        <v>0</v>
      </c>
    </row>
    <row r="126" spans="2:9" s="360" customFormat="1">
      <c r="B126" s="366" t="s">
        <v>82</v>
      </c>
      <c r="C126" s="367">
        <v>10</v>
      </c>
      <c r="D126" s="367">
        <v>45</v>
      </c>
      <c r="E126" s="367" t="str">
        <f>IF(AND(C71&gt;45,C71&lt;=50),"1","0")</f>
        <v>0</v>
      </c>
    </row>
    <row r="127" spans="2:9" s="360" customFormat="1">
      <c r="B127" s="366" t="s">
        <v>86</v>
      </c>
      <c r="C127" s="367">
        <v>11</v>
      </c>
      <c r="D127" s="367">
        <v>50</v>
      </c>
      <c r="E127" s="367" t="str">
        <f>IF(C71&gt;50,"1","0")</f>
        <v>0</v>
      </c>
    </row>
    <row r="128" spans="2:9">
      <c r="E128" s="120"/>
      <c r="F128" s="120"/>
      <c r="G128" s="120"/>
      <c r="H128" s="120"/>
      <c r="I128" s="120"/>
    </row>
  </sheetData>
  <sheetProtection algorithmName="SHA-512" hashValue="8k055t3wu0sfnd6bnIVtUdSxMQaNYvj11V+2mXJgWUdVq0Ph1IEZJ0ZLm42k1j7s3May/J3m02ZFFXi0UT5Bjg==" saltValue="oEEzIHzGjhdiYeMCON6DLg==" spinCount="100000" sheet="1" objects="1" scenarios="1" selectLockedCells="1"/>
  <mergeCells count="34">
    <mergeCell ref="C9:E9"/>
    <mergeCell ref="B2:B4"/>
    <mergeCell ref="C2:H2"/>
    <mergeCell ref="C3:H3"/>
    <mergeCell ref="C4:H4"/>
    <mergeCell ref="B6:H6"/>
    <mergeCell ref="B32:C32"/>
    <mergeCell ref="E32:F32"/>
    <mergeCell ref="G32:I32"/>
    <mergeCell ref="B12:L13"/>
    <mergeCell ref="V14:AA14"/>
    <mergeCell ref="B15:C15"/>
    <mergeCell ref="E15:F15"/>
    <mergeCell ref="G15:I15"/>
    <mergeCell ref="G16:G18"/>
    <mergeCell ref="B17:C18"/>
    <mergeCell ref="E20:F20"/>
    <mergeCell ref="G20:G22"/>
    <mergeCell ref="H20:N20"/>
    <mergeCell ref="C26:E26"/>
    <mergeCell ref="B29:L30"/>
    <mergeCell ref="B96:G96"/>
    <mergeCell ref="G33:G35"/>
    <mergeCell ref="E37:F38"/>
    <mergeCell ref="G37:G38"/>
    <mergeCell ref="H37:L37"/>
    <mergeCell ref="D61:E63"/>
    <mergeCell ref="F61:F63"/>
    <mergeCell ref="G61:G63"/>
    <mergeCell ref="D64:E64"/>
    <mergeCell ref="D65:E65"/>
    <mergeCell ref="D66:E66"/>
    <mergeCell ref="D67:E67"/>
    <mergeCell ref="B93:G93"/>
  </mergeCells>
  <conditionalFormatting sqref="C23:C24">
    <cfRule type="expression" dxfId="21" priority="3">
      <formula>#REF!="errore o dati mancanti"</formula>
    </cfRule>
  </conditionalFormatting>
  <conditionalFormatting sqref="C37">
    <cfRule type="expression" dxfId="20" priority="4">
      <formula>$D$54="errore o dati mancanti"</formula>
    </cfRule>
  </conditionalFormatting>
  <conditionalFormatting sqref="F17 F23:F24">
    <cfRule type="expression" dxfId="19" priority="1">
      <formula>#REF!&lt;&gt;"errore o dati mancanti"</formula>
    </cfRule>
    <cfRule type="expression" dxfId="18" priority="2">
      <formula>#REF!="errore o dati mancanti"</formula>
    </cfRule>
  </conditionalFormatting>
  <conditionalFormatting sqref="F39:F40">
    <cfRule type="expression" dxfId="17" priority="5">
      <formula>#REF!&lt;&gt;"Residenziale"</formula>
    </cfRule>
  </conditionalFormatting>
  <dataValidations disablePrompts="1" count="7">
    <dataValidation type="list" allowBlank="1" showInputMessage="1" showErrorMessage="1" sqref="F16">
      <formula1>$H$16:$H$18</formula1>
    </dataValidation>
    <dataValidation type="list" allowBlank="1" showInputMessage="1" showErrorMessage="1" sqref="F21">
      <formula1>$H$21:$N$21</formula1>
    </dataValidation>
    <dataValidation type="list" allowBlank="1" showInputMessage="1" showErrorMessage="1" sqref="F22">
      <formula1>$I$21:$N$21</formula1>
    </dataValidation>
    <dataValidation type="list" allowBlank="1" showInputMessage="1" showErrorMessage="1" sqref="D94">
      <formula1>$H$94:$H$95</formula1>
    </dataValidation>
    <dataValidation type="list" allowBlank="1" showInputMessage="1" showErrorMessage="1" sqref="F40">
      <formula1>$G$39:$G$43</formula1>
    </dataValidation>
    <dataValidation type="list" allowBlank="1" showInputMessage="1" showErrorMessage="1" sqref="F33">
      <formula1>$H$33:$H$35</formula1>
    </dataValidation>
    <dataValidation type="list" allowBlank="1" showInputMessage="1" showErrorMessage="1" sqref="F39">
      <formula1>$H$38:$L$38</formula1>
    </dataValidation>
  </dataValidations>
  <hyperlinks>
    <hyperlink ref="C9" r:id="rId1"/>
    <hyperlink ref="C26" r:id="rId2"/>
    <hyperlink ref="Y17" r:id="rId3"/>
    <hyperlink ref="Y16" r:id="rId4" display="https://statistica.regione.emilia-romagna.it/turismo/dati-preliminari"/>
  </hyperlinks>
  <pageMargins left="0.7" right="0.7" top="0.75" bottom="0.75" header="0.3" footer="0.3"/>
  <pageSetup paperSize="8" scale="44" orientation="portrait" horizontalDpi="1200" verticalDpi="120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7"/>
  <sheetViews>
    <sheetView showGridLines="0" zoomScaleNormal="100" workbookViewId="0">
      <selection activeCell="C17" sqref="C17"/>
    </sheetView>
  </sheetViews>
  <sheetFormatPr defaultColWidth="9.140625" defaultRowHeight="12.75"/>
  <cols>
    <col min="1" max="1" width="5.5703125" style="4" customWidth="1"/>
    <col min="2" max="2" width="26" style="4" customWidth="1"/>
    <col min="3" max="3" width="16.5703125" style="4" customWidth="1"/>
    <col min="4" max="4" width="7.42578125" style="4" customWidth="1"/>
    <col min="5" max="5" width="25.5703125" style="4" customWidth="1"/>
    <col min="6" max="6" width="15.5703125" style="4" customWidth="1"/>
    <col min="7" max="11" width="12.5703125" style="4" customWidth="1"/>
    <col min="12" max="12" width="12.5703125" style="12" customWidth="1"/>
    <col min="13" max="14" width="12.5703125" style="4" customWidth="1"/>
    <col min="15" max="15" width="5.5703125" style="4" customWidth="1"/>
    <col min="16" max="16" width="3.5703125" style="4" customWidth="1"/>
    <col min="17" max="17" width="10.5703125" style="4" customWidth="1"/>
    <col min="18" max="18" width="5.5703125" style="4" customWidth="1"/>
    <col min="19" max="19" width="25.5703125" style="4" customWidth="1"/>
    <col min="20" max="20" width="15.5703125" style="4" customWidth="1"/>
    <col min="21" max="21" width="12.5703125" style="4" customWidth="1"/>
    <col min="22" max="22" width="15.5703125" style="4" customWidth="1"/>
    <col min="23" max="16384" width="9.140625" style="4"/>
  </cols>
  <sheetData>
    <row r="1" spans="2:12" ht="13.5" thickBot="1"/>
    <row r="2" spans="2:12" ht="35.1" customHeight="1">
      <c r="B2" s="886" t="s">
        <v>327</v>
      </c>
      <c r="C2" s="889" t="s">
        <v>328</v>
      </c>
      <c r="D2" s="890"/>
      <c r="E2" s="890"/>
      <c r="F2" s="890"/>
      <c r="G2" s="890"/>
      <c r="H2" s="890"/>
      <c r="I2" s="890"/>
      <c r="J2" s="890"/>
      <c r="K2" s="891"/>
      <c r="L2" s="4"/>
    </row>
    <row r="3" spans="2:12" ht="35.1" customHeight="1">
      <c r="B3" s="887"/>
      <c r="C3" s="892" t="s">
        <v>372</v>
      </c>
      <c r="D3" s="893"/>
      <c r="E3" s="893"/>
      <c r="F3" s="893"/>
      <c r="G3" s="893"/>
      <c r="H3" s="893"/>
      <c r="I3" s="893"/>
      <c r="J3" s="893"/>
      <c r="K3" s="894"/>
      <c r="L3" s="4"/>
    </row>
    <row r="4" spans="2:12" ht="35.1" customHeight="1" thickBot="1">
      <c r="B4" s="888"/>
      <c r="C4" s="895" t="s">
        <v>477</v>
      </c>
      <c r="D4" s="896"/>
      <c r="E4" s="896"/>
      <c r="F4" s="896"/>
      <c r="G4" s="896"/>
      <c r="H4" s="896"/>
      <c r="I4" s="896"/>
      <c r="J4" s="896"/>
      <c r="K4" s="897"/>
      <c r="L4" s="4"/>
    </row>
    <row r="5" spans="2:12" ht="9.9499999999999993" customHeight="1">
      <c r="B5" s="341"/>
      <c r="C5" s="342"/>
      <c r="D5" s="342"/>
      <c r="E5" s="342"/>
      <c r="F5" s="342"/>
      <c r="G5" s="342"/>
      <c r="H5" s="342"/>
      <c r="I5" s="342"/>
      <c r="J5" s="342"/>
      <c r="K5" s="342"/>
      <c r="L5" s="4"/>
    </row>
    <row r="6" spans="2:12" ht="24.95" customHeight="1">
      <c r="B6" s="815" t="s">
        <v>24</v>
      </c>
      <c r="C6" s="845"/>
      <c r="D6" s="845"/>
      <c r="E6" s="845"/>
      <c r="F6" s="845"/>
      <c r="G6" s="845"/>
      <c r="H6" s="845"/>
      <c r="I6" s="845"/>
      <c r="J6" s="845"/>
      <c r="K6" s="846"/>
      <c r="L6" s="4"/>
    </row>
    <row r="8" spans="2:12" ht="24.75" customHeight="1">
      <c r="B8" s="6" t="s">
        <v>266</v>
      </c>
      <c r="H8" s="137" t="s">
        <v>611</v>
      </c>
      <c r="K8" s="32"/>
      <c r="L8" s="4"/>
    </row>
    <row r="9" spans="2:12" ht="24.75" customHeight="1">
      <c r="B9" s="45" t="s">
        <v>428</v>
      </c>
      <c r="C9" s="807" t="s">
        <v>92</v>
      </c>
      <c r="D9" s="808"/>
      <c r="E9" s="808"/>
      <c r="F9" s="808"/>
      <c r="H9" s="137" t="s">
        <v>476</v>
      </c>
      <c r="K9" s="32"/>
      <c r="L9" s="4"/>
    </row>
    <row r="10" spans="2:12" ht="24.75" customHeight="1">
      <c r="B10" s="45"/>
      <c r="C10" s="369" t="s">
        <v>336</v>
      </c>
      <c r="D10"/>
      <c r="E10"/>
      <c r="H10" s="137" t="s">
        <v>612</v>
      </c>
      <c r="K10" s="32"/>
      <c r="L10" s="4"/>
    </row>
    <row r="11" spans="2:12" ht="15" customHeight="1">
      <c r="B11" s="45"/>
      <c r="C11" s="387"/>
      <c r="D11"/>
      <c r="E11"/>
      <c r="K11" s="32"/>
      <c r="L11" s="4"/>
    </row>
    <row r="12" spans="2:12" ht="24.75" customHeight="1">
      <c r="B12" s="872" t="s">
        <v>438</v>
      </c>
      <c r="C12" s="873"/>
      <c r="D12" s="873"/>
      <c r="E12" s="873"/>
      <c r="F12" s="873"/>
      <c r="G12" s="873"/>
      <c r="H12" s="873"/>
      <c r="I12" s="873"/>
      <c r="J12" s="873"/>
      <c r="K12" s="873"/>
      <c r="L12" s="874"/>
    </row>
    <row r="13" spans="2:12" ht="24.75" customHeight="1">
      <c r="B13" s="875"/>
      <c r="C13" s="876"/>
      <c r="D13" s="876"/>
      <c r="E13" s="876"/>
      <c r="F13" s="876"/>
      <c r="G13" s="876"/>
      <c r="H13" s="876"/>
      <c r="I13" s="876"/>
      <c r="J13" s="876"/>
      <c r="K13" s="876"/>
      <c r="L13" s="877"/>
    </row>
    <row r="14" spans="2:12" ht="24.75" customHeight="1">
      <c r="B14" s="227"/>
      <c r="D14" s="44"/>
      <c r="E14" s="44"/>
      <c r="F14" s="46"/>
      <c r="G14" s="44"/>
      <c r="H14" s="44"/>
      <c r="I14" s="44"/>
      <c r="J14" s="44"/>
      <c r="K14" s="44"/>
      <c r="L14" s="179"/>
    </row>
    <row r="15" spans="2:12" ht="24.75" customHeight="1">
      <c r="B15" s="632" t="s">
        <v>373</v>
      </c>
      <c r="C15" s="803"/>
      <c r="D15" s="47"/>
      <c r="E15" s="830" t="s">
        <v>430</v>
      </c>
      <c r="F15" s="831"/>
      <c r="G15" s="791" t="s">
        <v>94</v>
      </c>
      <c r="H15" s="792"/>
      <c r="I15" s="793"/>
      <c r="J15" s="48"/>
      <c r="K15" s="48"/>
      <c r="L15" s="232"/>
    </row>
    <row r="16" spans="2:12" ht="24.75" customHeight="1">
      <c r="B16" s="49"/>
      <c r="C16" s="50"/>
      <c r="D16" s="47"/>
      <c r="E16" s="51" t="s">
        <v>95</v>
      </c>
      <c r="F16" s="52" t="s">
        <v>96</v>
      </c>
      <c r="G16" s="794" t="s">
        <v>97</v>
      </c>
      <c r="H16" s="53" t="s">
        <v>98</v>
      </c>
      <c r="I16" s="54">
        <v>1</v>
      </c>
      <c r="J16" s="48"/>
      <c r="K16" s="48"/>
      <c r="L16" s="232"/>
    </row>
    <row r="17" spans="2:17" ht="24.75" customHeight="1">
      <c r="B17" s="55" t="s">
        <v>99</v>
      </c>
      <c r="C17" s="56">
        <v>0</v>
      </c>
      <c r="D17" s="47"/>
      <c r="E17" s="394" t="s">
        <v>474</v>
      </c>
      <c r="F17" s="256">
        <f>IF(F16=H16,AVERAGE(C17:C18)*I16,IF(F16=H17,AVERAGE(C17:C18)*I17,IF(F16=H18,AVERAGE(C17:C18)*I18,"errore o dati mancanti")))</f>
        <v>0</v>
      </c>
      <c r="G17" s="795"/>
      <c r="H17" s="53" t="s">
        <v>96</v>
      </c>
      <c r="I17" s="54">
        <v>1.3</v>
      </c>
      <c r="J17" s="48"/>
      <c r="K17" s="48"/>
      <c r="L17" s="232"/>
    </row>
    <row r="18" spans="2:17" ht="24.75" customHeight="1">
      <c r="B18" s="55" t="s">
        <v>100</v>
      </c>
      <c r="C18" s="56">
        <v>0</v>
      </c>
      <c r="D18" s="233"/>
      <c r="E18" s="395" t="s">
        <v>475</v>
      </c>
      <c r="F18" s="58"/>
      <c r="G18" s="796"/>
      <c r="H18" s="59" t="s">
        <v>101</v>
      </c>
      <c r="I18" s="54">
        <v>1.9</v>
      </c>
      <c r="J18" s="48"/>
      <c r="K18" s="48"/>
      <c r="L18" s="232"/>
    </row>
    <row r="19" spans="2:17" ht="24.75" customHeight="1">
      <c r="B19" s="49"/>
      <c r="C19" s="50"/>
      <c r="D19" s="47"/>
      <c r="E19" s="60"/>
      <c r="F19" s="60"/>
      <c r="G19" s="48"/>
      <c r="H19" s="61"/>
      <c r="I19" s="48"/>
      <c r="J19" s="48"/>
      <c r="K19" s="48"/>
      <c r="L19" s="232"/>
    </row>
    <row r="20" spans="2:17" ht="24.75" customHeight="1">
      <c r="B20" s="234" t="s">
        <v>258</v>
      </c>
      <c r="C20" s="63">
        <f>F24</f>
        <v>0</v>
      </c>
      <c r="D20" s="47"/>
      <c r="E20" s="797" t="s">
        <v>483</v>
      </c>
      <c r="F20" s="798"/>
      <c r="G20" s="794" t="s">
        <v>103</v>
      </c>
      <c r="H20" s="791" t="s">
        <v>499</v>
      </c>
      <c r="I20" s="792"/>
      <c r="J20" s="792"/>
      <c r="K20" s="792"/>
      <c r="L20" s="793"/>
    </row>
    <row r="21" spans="2:17" ht="24.75" customHeight="1">
      <c r="B21" s="71"/>
      <c r="C21" s="47"/>
      <c r="D21" s="47"/>
      <c r="E21" s="799"/>
      <c r="F21" s="800"/>
      <c r="G21" s="796"/>
      <c r="H21" s="64" t="s">
        <v>104</v>
      </c>
      <c r="I21" s="64" t="s">
        <v>105</v>
      </c>
      <c r="J21" s="64" t="s">
        <v>106</v>
      </c>
      <c r="K21" s="64" t="s">
        <v>107</v>
      </c>
      <c r="L21" s="64" t="s">
        <v>108</v>
      </c>
    </row>
    <row r="22" spans="2:17" ht="24.75" customHeight="1">
      <c r="B22" s="227"/>
      <c r="D22" s="47"/>
      <c r="E22" s="65" t="s">
        <v>109</v>
      </c>
      <c r="F22" s="66" t="s">
        <v>104</v>
      </c>
      <c r="G22" s="67" t="s">
        <v>104</v>
      </c>
      <c r="H22" s="54">
        <v>1</v>
      </c>
      <c r="I22" s="54">
        <v>0.95</v>
      </c>
      <c r="J22" s="54">
        <v>1.49</v>
      </c>
      <c r="K22" s="54">
        <v>0.95</v>
      </c>
      <c r="L22" s="54">
        <v>1.03</v>
      </c>
    </row>
    <row r="23" spans="2:17" ht="24.75" customHeight="1">
      <c r="B23" s="498" t="s">
        <v>358</v>
      </c>
      <c r="C23" s="69"/>
      <c r="D23" s="68"/>
      <c r="E23" s="65" t="s">
        <v>257</v>
      </c>
      <c r="F23" s="70" t="s">
        <v>104</v>
      </c>
      <c r="G23" s="67" t="s">
        <v>105</v>
      </c>
      <c r="H23" s="54">
        <v>1.05</v>
      </c>
      <c r="I23" s="54">
        <v>1</v>
      </c>
      <c r="J23" s="54">
        <v>1.57</v>
      </c>
      <c r="K23" s="54">
        <v>1.1399999999999999</v>
      </c>
      <c r="L23" s="54">
        <v>1.05</v>
      </c>
    </row>
    <row r="24" spans="2:17" ht="24.75" customHeight="1">
      <c r="B24" s="499" t="s">
        <v>359</v>
      </c>
      <c r="D24" s="68"/>
      <c r="E24" s="71"/>
      <c r="F24" s="256">
        <f>IF(AND(F22=G22,F23=H21),F17*H22,IF(AND(F22=G22,F23=I21),F17*I22,IF(AND(F22=G22,F23=J21),F17*J22,IF(AND(F22=G22,F23=K21),F17*K22,IF(AND(F22=G22,F23=L21),F17*L22,IF(AND(F22=G23,F23=H21),F17*H23,IF(AND(F22=G23,F23=I21),F17*I23,IF(AND(F22=G23,F23=J21),F17*J23,IF(AND(F22=G23,F23=K21),F17*K23,IF(AND(F22=G23,F23=L21),F17*L23,IF(AND(F22=G24,F23=H21),F17*H24,IF(AND(F22=G24,F23=I21),F17*I24,IF(AND(F22=G24,F23=J21),F17*J24,IF(AND(F22=G24,F23=K21),F17*K24,IF(AND(F22=G24,F23=L21),F17*L24,IF(AND(F22=G25,F23=H21),F17*H25,IF(AND(F22=G25,F23=I21),F17*I25,IF(AND(F22=G25,F23=J21),F17*J25,IF(AND(F22=G25,F23=K21),F17*K25,IF(AND(F22=G25,F23=L21),F17*L25,IF(AND(F22=G26,F23=H21),F17*H26,IF(AND(F22=G26,F23=I21),F17*I26,IF(AND(F22=G26,F23=J21),F17*J26,IF(AND(F22=G26,F23=K21),F17*K26,IF(AND(F22=G26,F23=L21),F17*L26,"errore o dati mancanti")))))))))))))))))))))))))</f>
        <v>0</v>
      </c>
      <c r="G24" s="67" t="s">
        <v>106</v>
      </c>
      <c r="H24" s="54">
        <v>0.67</v>
      </c>
      <c r="I24" s="54">
        <v>0.64</v>
      </c>
      <c r="J24" s="54">
        <v>1</v>
      </c>
      <c r="K24" s="54">
        <v>0.63</v>
      </c>
      <c r="L24" s="54">
        <v>0.69</v>
      </c>
    </row>
    <row r="25" spans="2:17" ht="24.75" customHeight="1">
      <c r="B25" s="71"/>
      <c r="C25" s="47"/>
      <c r="D25" s="47"/>
      <c r="E25" s="498" t="s">
        <v>453</v>
      </c>
      <c r="F25" s="60"/>
      <c r="G25" s="67" t="s">
        <v>107</v>
      </c>
      <c r="H25" s="54">
        <v>1.0900000000000001</v>
      </c>
      <c r="I25" s="54">
        <v>0.88</v>
      </c>
      <c r="J25" s="54">
        <v>1.61</v>
      </c>
      <c r="K25" s="54">
        <v>1</v>
      </c>
      <c r="L25" s="54">
        <v>1.19</v>
      </c>
    </row>
    <row r="26" spans="2:17" ht="24.75" customHeight="1">
      <c r="B26" s="235"/>
      <c r="C26" s="236"/>
      <c r="D26" s="236"/>
      <c r="E26" s="73"/>
      <c r="F26" s="58"/>
      <c r="G26" s="74" t="s">
        <v>108</v>
      </c>
      <c r="H26" s="54">
        <v>0.97</v>
      </c>
      <c r="I26" s="54">
        <v>0.95</v>
      </c>
      <c r="J26" s="54">
        <v>1.45</v>
      </c>
      <c r="K26" s="54">
        <v>0.84</v>
      </c>
      <c r="L26" s="54">
        <v>1</v>
      </c>
    </row>
    <row r="27" spans="2:17" ht="24.75" customHeight="1">
      <c r="B27" s="47"/>
      <c r="C27" s="47"/>
      <c r="D27" s="47"/>
      <c r="E27" s="237"/>
      <c r="F27" s="60"/>
      <c r="G27" s="238"/>
      <c r="H27" s="131"/>
      <c r="I27" s="131"/>
      <c r="J27" s="131"/>
      <c r="K27" s="131"/>
      <c r="L27" s="131"/>
    </row>
    <row r="28" spans="2:17" ht="24.75" customHeight="1">
      <c r="B28" s="6" t="s">
        <v>329</v>
      </c>
      <c r="K28" s="32"/>
      <c r="L28" s="4"/>
      <c r="Q28" s="504"/>
    </row>
    <row r="29" spans="2:17" ht="24.75" customHeight="1">
      <c r="B29" s="45" t="s">
        <v>428</v>
      </c>
      <c r="C29" s="807" t="s">
        <v>92</v>
      </c>
      <c r="D29" s="808"/>
      <c r="E29" s="808"/>
      <c r="F29" s="808"/>
      <c r="K29" s="32"/>
      <c r="L29" s="4"/>
      <c r="Q29" s="504"/>
    </row>
    <row r="30" spans="2:17" ht="24.75" customHeight="1">
      <c r="B30" s="45"/>
      <c r="C30" s="369" t="s">
        <v>336</v>
      </c>
      <c r="D30"/>
      <c r="E30"/>
      <c r="K30" s="32"/>
      <c r="L30" s="4"/>
      <c r="Q30" s="504"/>
    </row>
    <row r="31" spans="2:17" ht="15" customHeight="1">
      <c r="B31" s="45"/>
      <c r="C31" s="387"/>
      <c r="D31"/>
      <c r="E31"/>
      <c r="K31" s="32"/>
      <c r="L31" s="4"/>
      <c r="Q31" s="504"/>
    </row>
    <row r="32" spans="2:17" ht="24.75" customHeight="1">
      <c r="B32" s="872" t="s">
        <v>439</v>
      </c>
      <c r="C32" s="873"/>
      <c r="D32" s="873"/>
      <c r="E32" s="873"/>
      <c r="F32" s="873"/>
      <c r="G32" s="873"/>
      <c r="H32" s="873"/>
      <c r="I32" s="873"/>
      <c r="J32" s="873"/>
      <c r="K32" s="873"/>
      <c r="L32" s="874"/>
      <c r="M32" s="469"/>
      <c r="N32" s="29"/>
      <c r="Q32" s="504" t="s">
        <v>517</v>
      </c>
    </row>
    <row r="33" spans="2:28" ht="24.75" customHeight="1" thickBot="1">
      <c r="B33" s="875"/>
      <c r="C33" s="876"/>
      <c r="D33" s="876"/>
      <c r="E33" s="876"/>
      <c r="F33" s="876"/>
      <c r="G33" s="876"/>
      <c r="H33" s="876"/>
      <c r="I33" s="876"/>
      <c r="J33" s="876"/>
      <c r="K33" s="876"/>
      <c r="L33" s="877"/>
      <c r="M33" s="227"/>
      <c r="N33" s="30"/>
      <c r="Q33" s="44"/>
    </row>
    <row r="34" spans="2:28" ht="24.75" customHeight="1" thickBot="1">
      <c r="B34" s="227"/>
      <c r="L34" s="30"/>
      <c r="M34" s="227"/>
      <c r="N34" s="30"/>
      <c r="Q34" s="505" t="s">
        <v>486</v>
      </c>
      <c r="R34" s="506" t="s">
        <v>1</v>
      </c>
      <c r="S34" s="507" t="s">
        <v>487</v>
      </c>
      <c r="T34" s="508" t="e">
        <f>(S35*S36*S37*1000)/S38</f>
        <v>#DIV/0!</v>
      </c>
      <c r="U34" s="509"/>
      <c r="V34" s="522" t="e">
        <f>T34/0.475</f>
        <v>#DIV/0!</v>
      </c>
      <c r="W34" s="852"/>
      <c r="X34" s="853"/>
      <c r="Y34" s="853"/>
      <c r="Z34" s="853"/>
      <c r="AA34" s="853"/>
      <c r="AB34" s="853"/>
    </row>
    <row r="35" spans="2:28" ht="24.75" customHeight="1">
      <c r="B35" s="632" t="s">
        <v>373</v>
      </c>
      <c r="C35" s="803"/>
      <c r="D35" s="44"/>
      <c r="E35" s="830" t="s">
        <v>430</v>
      </c>
      <c r="F35" s="831"/>
      <c r="G35" s="791" t="s">
        <v>94</v>
      </c>
      <c r="H35" s="792"/>
      <c r="I35" s="793"/>
      <c r="J35" s="170"/>
      <c r="K35" s="171"/>
      <c r="L35" s="50"/>
      <c r="M35" s="227"/>
      <c r="N35" s="30"/>
      <c r="Q35" s="170" t="s">
        <v>406</v>
      </c>
      <c r="R35" s="170" t="s">
        <v>1</v>
      </c>
      <c r="S35" s="510">
        <v>0</v>
      </c>
      <c r="T35" s="511" t="s">
        <v>489</v>
      </c>
    </row>
    <row r="36" spans="2:28" ht="24.75" customHeight="1">
      <c r="B36" s="3"/>
      <c r="C36" s="172"/>
      <c r="D36" s="44"/>
      <c r="E36" s="51" t="s">
        <v>95</v>
      </c>
      <c r="F36" s="173" t="s">
        <v>96</v>
      </c>
      <c r="G36" s="794" t="s">
        <v>97</v>
      </c>
      <c r="H36" s="174" t="s">
        <v>98</v>
      </c>
      <c r="I36" s="175">
        <v>1</v>
      </c>
      <c r="J36" s="170"/>
      <c r="K36" s="170"/>
      <c r="L36" s="50"/>
      <c r="M36" s="227"/>
      <c r="N36" s="30"/>
      <c r="Q36" s="170" t="s">
        <v>490</v>
      </c>
      <c r="R36" s="170" t="s">
        <v>1</v>
      </c>
      <c r="S36" s="531">
        <v>0.40039999999999998</v>
      </c>
      <c r="T36" s="511" t="s">
        <v>491</v>
      </c>
      <c r="Z36" s="512" t="s">
        <v>492</v>
      </c>
    </row>
    <row r="37" spans="2:28" ht="24.75" customHeight="1">
      <c r="B37" s="854" t="s">
        <v>184</v>
      </c>
      <c r="C37" s="855"/>
      <c r="D37" s="44"/>
      <c r="E37" s="394" t="s">
        <v>474</v>
      </c>
      <c r="F37" s="257">
        <f>IF(F36=H36,AVERAGE(C40:C41)*I36,IF(F36=H37,AVERAGE(C40:C41)*I37,IF(F36=H38,AVERAGE(C40:C41)*I38,"errore o dati mancanti")))</f>
        <v>0</v>
      </c>
      <c r="G37" s="795"/>
      <c r="H37" s="174" t="s">
        <v>96</v>
      </c>
      <c r="I37" s="175">
        <v>1.3</v>
      </c>
      <c r="J37" s="170"/>
      <c r="K37" s="170"/>
      <c r="L37" s="50"/>
      <c r="M37" s="227"/>
      <c r="N37" s="30"/>
      <c r="Q37" s="170" t="s">
        <v>493</v>
      </c>
      <c r="R37" s="170" t="s">
        <v>1</v>
      </c>
      <c r="S37" s="532">
        <v>95.21</v>
      </c>
      <c r="T37" s="511" t="s">
        <v>514</v>
      </c>
      <c r="Y37" s="12"/>
      <c r="Z37" s="514" t="s">
        <v>494</v>
      </c>
    </row>
    <row r="38" spans="2:28" ht="24.75" customHeight="1">
      <c r="B38" s="856"/>
      <c r="C38" s="857"/>
      <c r="D38" s="239"/>
      <c r="E38" s="395" t="s">
        <v>475</v>
      </c>
      <c r="F38" s="178"/>
      <c r="G38" s="796"/>
      <c r="H38" s="240" t="s">
        <v>101</v>
      </c>
      <c r="I38" s="175">
        <v>1.9</v>
      </c>
      <c r="J38" s="170"/>
      <c r="K38" s="170"/>
      <c r="L38" s="50"/>
      <c r="M38" s="227"/>
      <c r="N38" s="30"/>
      <c r="Q38" s="170" t="s">
        <v>495</v>
      </c>
      <c r="R38" s="170" t="s">
        <v>1</v>
      </c>
      <c r="S38" s="513">
        <v>0</v>
      </c>
      <c r="T38" s="511" t="s">
        <v>496</v>
      </c>
    </row>
    <row r="39" spans="2:28" ht="24.75" customHeight="1">
      <c r="B39" s="49"/>
      <c r="C39" s="179"/>
      <c r="D39" s="44"/>
      <c r="E39" s="180"/>
      <c r="F39" s="180"/>
      <c r="G39" s="170"/>
      <c r="H39" s="241"/>
      <c r="I39" s="170"/>
      <c r="J39" s="170"/>
      <c r="K39" s="170"/>
      <c r="L39" s="50"/>
      <c r="M39" s="470"/>
      <c r="N39" s="247"/>
      <c r="S39" s="515" t="s">
        <v>497</v>
      </c>
      <c r="T39" s="516" t="s">
        <v>525</v>
      </c>
    </row>
    <row r="40" spans="2:28" ht="24.75" customHeight="1">
      <c r="B40" s="55" t="s">
        <v>186</v>
      </c>
      <c r="C40" s="56">
        <v>0</v>
      </c>
      <c r="D40" s="44"/>
      <c r="E40" s="632" t="s">
        <v>187</v>
      </c>
      <c r="F40" s="804"/>
      <c r="G40" s="794" t="s">
        <v>188</v>
      </c>
      <c r="H40" s="791" t="s">
        <v>189</v>
      </c>
      <c r="I40" s="792"/>
      <c r="J40" s="792"/>
      <c r="K40" s="792"/>
      <c r="L40" s="792"/>
      <c r="M40" s="859"/>
      <c r="N40" s="860"/>
      <c r="T40" s="516" t="s">
        <v>515</v>
      </c>
    </row>
    <row r="41" spans="2:28" ht="24.75" customHeight="1">
      <c r="B41" s="55" t="s">
        <v>191</v>
      </c>
      <c r="C41" s="56">
        <v>0</v>
      </c>
      <c r="D41" s="44"/>
      <c r="E41" s="65" t="s">
        <v>192</v>
      </c>
      <c r="F41" s="181" t="s">
        <v>193</v>
      </c>
      <c r="G41" s="795"/>
      <c r="H41" s="242" t="s">
        <v>194</v>
      </c>
      <c r="I41" s="242" t="s">
        <v>193</v>
      </c>
      <c r="J41" s="242" t="s">
        <v>195</v>
      </c>
      <c r="K41" s="242" t="s">
        <v>196</v>
      </c>
      <c r="L41" s="242" t="s">
        <v>432</v>
      </c>
      <c r="M41" s="242" t="s">
        <v>433</v>
      </c>
      <c r="N41" s="242" t="s">
        <v>434</v>
      </c>
    </row>
    <row r="42" spans="2:28" ht="24.75" customHeight="1">
      <c r="B42" s="55"/>
      <c r="C42" s="50"/>
      <c r="D42" s="44"/>
      <c r="E42" s="243" t="s">
        <v>197</v>
      </c>
      <c r="F42" s="181" t="s">
        <v>193</v>
      </c>
      <c r="G42" s="858"/>
      <c r="H42" s="175">
        <v>1</v>
      </c>
      <c r="I42" s="175">
        <v>0.81</v>
      </c>
      <c r="J42" s="175">
        <v>1.52</v>
      </c>
      <c r="K42" s="175">
        <v>0.85</v>
      </c>
      <c r="L42" s="175">
        <v>0.33</v>
      </c>
      <c r="M42" s="175">
        <v>0.53</v>
      </c>
      <c r="N42" s="175">
        <v>0.37</v>
      </c>
    </row>
    <row r="43" spans="2:28" ht="24.75" customHeight="1">
      <c r="B43" s="234" t="s">
        <v>259</v>
      </c>
      <c r="C43" s="183">
        <f>F43</f>
        <v>0</v>
      </c>
      <c r="D43" s="244"/>
      <c r="E43" s="245"/>
      <c r="F43" s="258">
        <f>IF(AND(F41=I41,F42=I41),F37*H42,IF(AND(F41=J41,F42=J41),F37*H42,IF(AND(F41=K41,F42=K41),F37*H42,IF(AND(F41=L41,F42=L41),F37*H42,IF(AND(F41=M41,F42=M41),F37*H42,IF(AND(F41=N41,F42=N41),F37*H42,IF(AND(F41=H41,F42=I41),F37*I42,IF(AND(F41=H41,F42=J41),F37*J42,IF(AND(F41=H41,F42=K41),F37*K42,IF(AND(F41=H41,F42=L41),F37*L42,IF(AND(F41=H41,F42=M41),F37*M42,IF(AND(F41=H41,F42=N41),F37*N42,"errore/dati mancanti"))))))))))))</f>
        <v>0</v>
      </c>
      <c r="G43" s="246"/>
      <c r="H43" s="246"/>
      <c r="I43" s="246"/>
      <c r="J43" s="246"/>
      <c r="K43" s="246"/>
      <c r="L43" s="246"/>
      <c r="M43" s="246"/>
      <c r="N43" s="247"/>
    </row>
    <row r="44" spans="2:28" ht="24.75" customHeight="1">
      <c r="N44" s="44"/>
      <c r="O44" s="44"/>
    </row>
    <row r="45" spans="2:28" ht="24.75" customHeight="1">
      <c r="B45" s="6" t="s">
        <v>261</v>
      </c>
      <c r="N45" s="44"/>
      <c r="O45" s="44"/>
    </row>
    <row r="46" spans="2:28" ht="15" customHeight="1">
      <c r="B46" s="6"/>
      <c r="N46" s="44"/>
      <c r="O46" s="44"/>
    </row>
    <row r="47" spans="2:28" ht="24.75" customHeight="1">
      <c r="B47" s="248" t="s">
        <v>256</v>
      </c>
      <c r="C47" s="249">
        <f>IF((C43-C20)*0.475&lt;0,0,(C43-C20)*0.475)</f>
        <v>0</v>
      </c>
      <c r="D47" s="47"/>
      <c r="E47" s="237"/>
      <c r="F47" s="60"/>
      <c r="G47" s="238"/>
      <c r="H47" s="131"/>
      <c r="I47" s="131"/>
      <c r="J47" s="131"/>
      <c r="K47" s="131"/>
      <c r="L47" s="131"/>
    </row>
    <row r="48" spans="2:28" ht="24.75" customHeight="1" thickBot="1"/>
    <row r="49" spans="2:30" s="12" customFormat="1" ht="24.75" customHeight="1">
      <c r="B49" s="81" t="s">
        <v>267</v>
      </c>
      <c r="C49" s="82"/>
      <c r="D49" s="82"/>
      <c r="E49" s="82"/>
      <c r="F49" s="82"/>
      <c r="G49" s="82"/>
      <c r="H49" s="82"/>
      <c r="I49" s="82"/>
      <c r="J49" s="82"/>
      <c r="K49" s="140"/>
      <c r="N49" s="194"/>
      <c r="O49" s="19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2:30" s="12" customFormat="1" ht="24.75" customHeight="1">
      <c r="B50" s="834" t="s">
        <v>190</v>
      </c>
      <c r="C50" s="835"/>
      <c r="D50" s="835"/>
      <c r="E50" s="835"/>
      <c r="F50" s="835"/>
      <c r="G50" s="835"/>
      <c r="H50" s="835"/>
      <c r="I50" s="835"/>
      <c r="J50" s="4"/>
      <c r="K50" s="92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2:30">
      <c r="B51" s="91" t="s">
        <v>115</v>
      </c>
      <c r="E51" s="495" t="s">
        <v>470</v>
      </c>
      <c r="K51" s="92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2:30">
      <c r="B52" s="94" t="s">
        <v>169</v>
      </c>
      <c r="K52" s="92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2:30" ht="24.75" customHeight="1">
      <c r="B53" s="493" t="s">
        <v>468</v>
      </c>
      <c r="C53" s="79"/>
      <c r="D53" s="97" t="s">
        <v>172</v>
      </c>
      <c r="E53" s="513">
        <v>0</v>
      </c>
      <c r="F53" s="97" t="s">
        <v>173</v>
      </c>
      <c r="G53" s="513">
        <v>0</v>
      </c>
      <c r="H53" s="250"/>
      <c r="I53" s="149" t="s">
        <v>198</v>
      </c>
      <c r="J53" s="184">
        <f>E53+0.6*G53</f>
        <v>0</v>
      </c>
      <c r="K53" s="92"/>
      <c r="L53" s="198"/>
      <c r="M53" s="198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2:30" ht="24.75" customHeight="1">
      <c r="B54" s="94"/>
      <c r="C54" s="79"/>
      <c r="D54" s="97"/>
      <c r="F54" s="97"/>
      <c r="G54" s="250"/>
      <c r="H54" s="75"/>
      <c r="I54" s="186"/>
      <c r="K54" s="251"/>
      <c r="L54" s="4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2:30" ht="30" customHeight="1">
      <c r="B55" s="848" t="s">
        <v>199</v>
      </c>
      <c r="C55" s="789"/>
      <c r="D55" s="789"/>
      <c r="E55" s="789"/>
      <c r="F55" s="789"/>
      <c r="G55" s="789"/>
      <c r="H55" s="789"/>
      <c r="I55" s="187">
        <f>HLOOKUP(K55,B63:R64,2,0)</f>
        <v>7</v>
      </c>
      <c r="J55" s="358" t="s">
        <v>227</v>
      </c>
      <c r="K55" s="189" t="s">
        <v>204</v>
      </c>
      <c r="L55" s="4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2:30" ht="9.9499999999999993" customHeight="1">
      <c r="B56" s="190"/>
      <c r="C56" s="191"/>
      <c r="D56" s="191"/>
      <c r="E56" s="191"/>
      <c r="F56" s="191"/>
      <c r="G56" s="191"/>
      <c r="H56" s="191"/>
      <c r="I56" s="97"/>
      <c r="J56" s="97"/>
      <c r="K56" s="185"/>
      <c r="L56" s="4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2:30" ht="30" customHeight="1">
      <c r="B57" s="788" t="s">
        <v>532</v>
      </c>
      <c r="C57" s="870"/>
      <c r="D57" s="870"/>
      <c r="E57" s="870"/>
      <c r="F57" s="870"/>
      <c r="G57" s="870"/>
      <c r="H57" s="870"/>
      <c r="I57" s="870"/>
      <c r="J57" s="885"/>
      <c r="K57" s="517" t="s">
        <v>126</v>
      </c>
      <c r="L57" s="4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2:30" ht="24.75" customHeight="1" thickBot="1">
      <c r="B58" s="153"/>
      <c r="C58" s="154"/>
      <c r="D58" s="154"/>
      <c r="E58" s="154"/>
      <c r="F58" s="154"/>
      <c r="G58" s="154"/>
      <c r="H58" s="192" t="s">
        <v>126</v>
      </c>
      <c r="I58" s="192" t="s">
        <v>129</v>
      </c>
      <c r="J58" s="192">
        <v>0</v>
      </c>
      <c r="K58" s="193">
        <v>35</v>
      </c>
      <c r="L58" s="4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2:30" ht="30" customHeight="1" thickBot="1">
      <c r="B59" s="106"/>
      <c r="C59" s="157"/>
      <c r="D59" s="107" t="s">
        <v>202</v>
      </c>
      <c r="E59" s="252">
        <f>IF(K57="SI",E60,IF(K57="NO",E61))</f>
        <v>0</v>
      </c>
      <c r="F59" s="108"/>
      <c r="G59" s="157"/>
      <c r="H59" s="157"/>
      <c r="I59" s="157"/>
      <c r="J59" s="157"/>
      <c r="K59" s="158"/>
      <c r="L59" s="4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2:30" ht="24.75" hidden="1" customHeight="1">
      <c r="B60" s="113"/>
      <c r="C60" s="113"/>
      <c r="D60" s="114" t="s">
        <v>203</v>
      </c>
      <c r="E60" s="114">
        <f>C47*J53*I55/100*(1-K58/100)*I23</f>
        <v>0</v>
      </c>
      <c r="F60" s="116" t="s">
        <v>179</v>
      </c>
      <c r="G60" s="12"/>
      <c r="H60" s="12"/>
      <c r="I60" s="12"/>
      <c r="J60" s="12"/>
      <c r="K60" s="12"/>
      <c r="L60" s="4"/>
    </row>
    <row r="61" spans="2:30" s="196" customFormat="1" ht="24.75" hidden="1" customHeight="1">
      <c r="B61" s="113"/>
      <c r="C61" s="113"/>
      <c r="D61" s="114" t="s">
        <v>203</v>
      </c>
      <c r="E61" s="114">
        <f>C47*J53*I55/100*(1-J58/100)*I23</f>
        <v>0</v>
      </c>
      <c r="F61" s="116" t="s">
        <v>179</v>
      </c>
      <c r="G61" s="12"/>
      <c r="H61" s="12"/>
      <c r="I61" s="12"/>
      <c r="J61" s="12"/>
      <c r="K61" s="12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2:30" s="197" customFormat="1" ht="24.75" hidden="1" customHeight="1"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2:30" ht="24.75" hidden="1" customHeight="1">
      <c r="B63" s="195" t="s">
        <v>204</v>
      </c>
      <c r="C63" s="195" t="s">
        <v>205</v>
      </c>
      <c r="D63" s="195" t="s">
        <v>201</v>
      </c>
      <c r="E63" s="195" t="s">
        <v>206</v>
      </c>
      <c r="F63" s="195" t="s">
        <v>207</v>
      </c>
      <c r="G63" s="195" t="s">
        <v>208</v>
      </c>
      <c r="H63" s="195" t="s">
        <v>209</v>
      </c>
      <c r="I63" s="195" t="s">
        <v>210</v>
      </c>
      <c r="J63" s="196" t="s">
        <v>211</v>
      </c>
      <c r="K63" s="196" t="s">
        <v>212</v>
      </c>
      <c r="L63" s="196" t="s">
        <v>213</v>
      </c>
      <c r="M63" s="196" t="s">
        <v>214</v>
      </c>
      <c r="N63" s="196" t="s">
        <v>215</v>
      </c>
      <c r="O63" s="196" t="s">
        <v>216</v>
      </c>
      <c r="P63" s="196" t="s">
        <v>217</v>
      </c>
      <c r="Q63" s="196" t="s">
        <v>437</v>
      </c>
      <c r="R63" s="196" t="s">
        <v>218</v>
      </c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2:30" ht="24.75" hidden="1" customHeight="1">
      <c r="B64" s="197">
        <v>7</v>
      </c>
      <c r="C64" s="197">
        <v>7</v>
      </c>
      <c r="D64" s="197">
        <v>7</v>
      </c>
      <c r="E64" s="197">
        <v>7</v>
      </c>
      <c r="F64" s="197">
        <v>7</v>
      </c>
      <c r="G64" s="197">
        <v>10</v>
      </c>
      <c r="H64" s="197">
        <v>10</v>
      </c>
      <c r="I64" s="197">
        <v>10</v>
      </c>
      <c r="J64" s="197">
        <v>7</v>
      </c>
      <c r="K64" s="197">
        <v>7</v>
      </c>
      <c r="L64" s="197">
        <v>7</v>
      </c>
      <c r="M64" s="197">
        <v>7</v>
      </c>
      <c r="N64" s="197">
        <v>7</v>
      </c>
      <c r="O64" s="197">
        <v>7</v>
      </c>
      <c r="P64" s="197">
        <v>7</v>
      </c>
      <c r="Q64" s="197">
        <v>7</v>
      </c>
      <c r="R64" s="197">
        <v>7</v>
      </c>
    </row>
    <row r="65" spans="11:30" ht="22.5" customHeight="1">
      <c r="K65" s="204" t="s">
        <v>360</v>
      </c>
    </row>
    <row r="66" spans="11:30">
      <c r="K66" s="204" t="s">
        <v>361</v>
      </c>
    </row>
    <row r="71" spans="11:30"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</row>
    <row r="89" spans="17:30"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</row>
    <row r="94" spans="17:30"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</row>
    <row r="99" spans="17:30"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</row>
    <row r="100" spans="17:30"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</row>
    <row r="101" spans="17:30"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</row>
    <row r="102" spans="17:30">
      <c r="Q102" s="360"/>
      <c r="R102" s="360"/>
      <c r="S102" s="360"/>
      <c r="T102" s="360"/>
      <c r="U102" s="360"/>
      <c r="V102" s="360"/>
      <c r="W102" s="360"/>
      <c r="X102" s="360"/>
      <c r="Y102" s="360"/>
      <c r="Z102" s="360"/>
      <c r="AA102" s="360"/>
      <c r="AB102" s="360"/>
      <c r="AC102" s="360"/>
      <c r="AD102" s="360"/>
    </row>
    <row r="103" spans="17:30">
      <c r="Q103" s="360"/>
      <c r="R103" s="360"/>
      <c r="S103" s="360"/>
      <c r="T103" s="360"/>
      <c r="U103" s="360"/>
      <c r="V103" s="360"/>
      <c r="W103" s="360"/>
      <c r="X103" s="360"/>
      <c r="Y103" s="360"/>
      <c r="Z103" s="360"/>
      <c r="AA103" s="360"/>
      <c r="AB103" s="360"/>
      <c r="AC103" s="360"/>
      <c r="AD103" s="360"/>
    </row>
    <row r="104" spans="17:30">
      <c r="Q104" s="360"/>
      <c r="R104" s="360"/>
      <c r="S104" s="360"/>
      <c r="T104" s="360"/>
      <c r="U104" s="360"/>
      <c r="V104" s="360"/>
      <c r="W104" s="360"/>
      <c r="X104" s="360"/>
      <c r="Y104" s="360"/>
      <c r="Z104" s="360"/>
      <c r="AA104" s="360"/>
      <c r="AB104" s="360"/>
      <c r="AC104" s="360"/>
      <c r="AD104" s="360"/>
    </row>
    <row r="105" spans="17:30">
      <c r="Q105" s="360"/>
      <c r="R105" s="360"/>
      <c r="S105" s="360"/>
      <c r="T105" s="360"/>
      <c r="U105" s="360"/>
      <c r="V105" s="360"/>
      <c r="W105" s="360"/>
      <c r="X105" s="360"/>
      <c r="Y105" s="360"/>
      <c r="Z105" s="360"/>
      <c r="AA105" s="360"/>
      <c r="AB105" s="360"/>
      <c r="AC105" s="360"/>
      <c r="AD105" s="360"/>
    </row>
    <row r="106" spans="17:30">
      <c r="Q106" s="360"/>
      <c r="R106" s="360"/>
      <c r="S106" s="360"/>
      <c r="T106" s="360"/>
      <c r="U106" s="360"/>
      <c r="V106" s="360"/>
      <c r="W106" s="360"/>
      <c r="X106" s="360"/>
      <c r="Y106" s="360"/>
      <c r="Z106" s="360"/>
      <c r="AA106" s="360"/>
      <c r="AB106" s="360"/>
      <c r="AC106" s="360"/>
      <c r="AD106" s="360"/>
    </row>
    <row r="107" spans="17:30">
      <c r="Q107" s="360"/>
      <c r="R107" s="360"/>
      <c r="S107" s="360"/>
      <c r="T107" s="360"/>
      <c r="U107" s="360"/>
      <c r="V107" s="360"/>
      <c r="W107" s="360"/>
      <c r="X107" s="360"/>
      <c r="Y107" s="360"/>
      <c r="Z107" s="360"/>
      <c r="AA107" s="360"/>
      <c r="AB107" s="360"/>
      <c r="AC107" s="360"/>
      <c r="AD107" s="360"/>
    </row>
    <row r="108" spans="17:30">
      <c r="Q108" s="360"/>
      <c r="R108" s="360"/>
      <c r="S108" s="360"/>
      <c r="T108" s="360"/>
      <c r="U108" s="360"/>
      <c r="V108" s="360"/>
      <c r="W108" s="360"/>
      <c r="X108" s="360"/>
      <c r="Y108" s="360"/>
      <c r="Z108" s="360"/>
      <c r="AA108" s="360"/>
      <c r="AB108" s="360"/>
      <c r="AC108" s="360"/>
      <c r="AD108" s="360"/>
    </row>
    <row r="109" spans="17:30">
      <c r="Q109" s="360"/>
      <c r="R109" s="360"/>
      <c r="S109" s="360"/>
      <c r="T109" s="360"/>
      <c r="U109" s="360"/>
      <c r="V109" s="360"/>
      <c r="W109" s="360"/>
      <c r="X109" s="360"/>
      <c r="Y109" s="360"/>
      <c r="Z109" s="360"/>
      <c r="AA109" s="360"/>
      <c r="AB109" s="360"/>
      <c r="AC109" s="360"/>
      <c r="AD109" s="360"/>
    </row>
    <row r="110" spans="17:30">
      <c r="Q110" s="360"/>
      <c r="R110" s="360"/>
      <c r="S110" s="360"/>
      <c r="T110" s="360"/>
      <c r="U110" s="360"/>
      <c r="V110" s="360"/>
      <c r="W110" s="360"/>
      <c r="X110" s="360"/>
      <c r="Y110" s="360"/>
      <c r="Z110" s="360"/>
      <c r="AA110" s="360"/>
      <c r="AB110" s="360"/>
      <c r="AC110" s="360"/>
      <c r="AD110" s="360"/>
    </row>
    <row r="111" spans="17:30">
      <c r="Q111" s="360"/>
      <c r="R111" s="360"/>
      <c r="S111" s="360"/>
      <c r="T111" s="360"/>
      <c r="U111" s="360"/>
      <c r="V111" s="360"/>
      <c r="W111" s="360"/>
      <c r="X111" s="360"/>
      <c r="Y111" s="360"/>
      <c r="Z111" s="360"/>
      <c r="AA111" s="360"/>
      <c r="AB111" s="360"/>
      <c r="AC111" s="360"/>
      <c r="AD111" s="360"/>
    </row>
    <row r="112" spans="17:30">
      <c r="Q112" s="360"/>
      <c r="R112" s="360"/>
      <c r="S112" s="360"/>
      <c r="T112" s="360"/>
      <c r="U112" s="360"/>
      <c r="V112" s="360"/>
      <c r="W112" s="360"/>
      <c r="X112" s="360"/>
      <c r="Y112" s="360"/>
      <c r="Z112" s="360"/>
      <c r="AA112" s="360"/>
      <c r="AB112" s="360"/>
      <c r="AC112" s="360"/>
      <c r="AD112" s="360"/>
    </row>
    <row r="113" spans="17:30">
      <c r="Q113" s="360"/>
      <c r="R113" s="360"/>
      <c r="S113" s="360"/>
      <c r="T113" s="360"/>
      <c r="U113" s="360"/>
      <c r="V113" s="360"/>
      <c r="W113" s="360"/>
      <c r="X113" s="360"/>
      <c r="Y113" s="360"/>
      <c r="Z113" s="360"/>
      <c r="AA113" s="360"/>
      <c r="AB113" s="360"/>
      <c r="AC113" s="360"/>
      <c r="AD113" s="360"/>
    </row>
    <row r="114" spans="17:30">
      <c r="Q114" s="360"/>
      <c r="R114" s="360"/>
      <c r="S114" s="360"/>
      <c r="T114" s="360"/>
      <c r="U114" s="360"/>
      <c r="V114" s="360"/>
      <c r="W114" s="360"/>
      <c r="X114" s="360"/>
      <c r="Y114" s="360"/>
      <c r="Z114" s="360"/>
      <c r="AA114" s="360"/>
      <c r="AB114" s="360"/>
      <c r="AC114" s="360"/>
      <c r="AD114" s="360"/>
    </row>
    <row r="115" spans="17:30">
      <c r="Q115" s="360"/>
      <c r="R115" s="360"/>
      <c r="S115" s="360"/>
      <c r="T115" s="360"/>
      <c r="U115" s="360"/>
      <c r="V115" s="360"/>
      <c r="W115" s="360"/>
      <c r="X115" s="360"/>
      <c r="Y115" s="360"/>
      <c r="Z115" s="360"/>
      <c r="AA115" s="360"/>
      <c r="AB115" s="360"/>
      <c r="AC115" s="360"/>
      <c r="AD115" s="360"/>
    </row>
    <row r="116" spans="17:30">
      <c r="Q116" s="360"/>
      <c r="R116" s="360"/>
      <c r="S116" s="360"/>
      <c r="T116" s="360"/>
      <c r="U116" s="360"/>
      <c r="V116" s="360"/>
      <c r="W116" s="360"/>
      <c r="X116" s="360"/>
      <c r="Y116" s="360"/>
      <c r="Z116" s="360"/>
      <c r="AA116" s="360"/>
      <c r="AB116" s="360"/>
      <c r="AC116" s="360"/>
      <c r="AD116" s="360"/>
    </row>
    <row r="117" spans="17:30">
      <c r="Q117" s="360"/>
      <c r="R117" s="360"/>
      <c r="S117" s="360"/>
      <c r="T117" s="360"/>
      <c r="U117" s="360"/>
      <c r="V117" s="360"/>
      <c r="W117" s="360"/>
      <c r="X117" s="360"/>
      <c r="Y117" s="360"/>
      <c r="Z117" s="360"/>
      <c r="AA117" s="360"/>
      <c r="AB117" s="360"/>
      <c r="AC117" s="360"/>
      <c r="AD117" s="360"/>
    </row>
    <row r="118" spans="17:30">
      <c r="Q118" s="360"/>
      <c r="R118" s="360"/>
      <c r="S118" s="360"/>
      <c r="T118" s="360"/>
      <c r="U118" s="360"/>
      <c r="V118" s="360"/>
      <c r="W118" s="360"/>
      <c r="X118" s="360"/>
      <c r="Y118" s="360"/>
      <c r="Z118" s="360"/>
      <c r="AA118" s="360"/>
      <c r="AB118" s="360"/>
      <c r="AC118" s="360"/>
      <c r="AD118" s="360"/>
    </row>
    <row r="119" spans="17:30">
      <c r="Q119" s="360"/>
      <c r="R119" s="360"/>
      <c r="S119" s="360"/>
      <c r="T119" s="360"/>
      <c r="U119" s="360"/>
      <c r="V119" s="360"/>
      <c r="W119" s="360"/>
      <c r="X119" s="360"/>
      <c r="Y119" s="360"/>
      <c r="Z119" s="360"/>
      <c r="AA119" s="360"/>
      <c r="AB119" s="360"/>
      <c r="AC119" s="360"/>
      <c r="AD119" s="360"/>
    </row>
    <row r="120" spans="17:30">
      <c r="Q120" s="360"/>
      <c r="R120" s="360"/>
      <c r="S120" s="360"/>
      <c r="T120" s="360"/>
      <c r="U120" s="360"/>
      <c r="V120" s="360"/>
      <c r="W120" s="360"/>
      <c r="X120" s="360"/>
      <c r="Y120" s="360"/>
      <c r="Z120" s="360"/>
      <c r="AA120" s="360"/>
      <c r="AB120" s="360"/>
      <c r="AC120" s="360"/>
      <c r="AD120" s="360"/>
    </row>
    <row r="121" spans="17:30">
      <c r="Q121" s="360"/>
      <c r="R121" s="360"/>
      <c r="S121" s="360"/>
      <c r="T121" s="360"/>
      <c r="U121" s="360"/>
      <c r="V121" s="360"/>
      <c r="W121" s="360"/>
      <c r="X121" s="360"/>
      <c r="Y121" s="360"/>
      <c r="Z121" s="360"/>
      <c r="AA121" s="360"/>
      <c r="AB121" s="360"/>
      <c r="AC121" s="360"/>
      <c r="AD121" s="360"/>
    </row>
    <row r="122" spans="17:30">
      <c r="Q122" s="360"/>
      <c r="R122" s="360"/>
      <c r="S122" s="360"/>
      <c r="T122" s="360"/>
      <c r="U122" s="360"/>
      <c r="V122" s="360"/>
      <c r="W122" s="360"/>
      <c r="X122" s="360"/>
      <c r="Y122" s="360"/>
      <c r="Z122" s="360"/>
      <c r="AA122" s="360"/>
      <c r="AB122" s="360"/>
      <c r="AC122" s="360"/>
      <c r="AD122" s="360"/>
    </row>
    <row r="123" spans="17:30">
      <c r="Q123" s="360"/>
      <c r="R123" s="360"/>
      <c r="S123" s="360"/>
      <c r="T123" s="360"/>
      <c r="U123" s="360"/>
      <c r="V123" s="360"/>
      <c r="W123" s="360"/>
      <c r="X123" s="360"/>
      <c r="Y123" s="360"/>
      <c r="Z123" s="360"/>
      <c r="AA123" s="360"/>
      <c r="AB123" s="360"/>
      <c r="AC123" s="360"/>
      <c r="AD123" s="360"/>
    </row>
    <row r="124" spans="17:30">
      <c r="Q124" s="360"/>
      <c r="R124" s="360"/>
      <c r="S124" s="360"/>
      <c r="T124" s="360"/>
      <c r="U124" s="360"/>
      <c r="V124" s="360"/>
      <c r="W124" s="360"/>
      <c r="X124" s="360"/>
      <c r="Y124" s="360"/>
      <c r="Z124" s="360"/>
      <c r="AA124" s="360"/>
      <c r="AB124" s="360"/>
      <c r="AC124" s="360"/>
      <c r="AD124" s="360"/>
    </row>
    <row r="125" spans="17:30">
      <c r="Q125" s="360"/>
      <c r="R125" s="360"/>
      <c r="S125" s="360"/>
      <c r="T125" s="360"/>
      <c r="U125" s="360"/>
      <c r="V125" s="360"/>
      <c r="W125" s="360"/>
      <c r="X125" s="360"/>
      <c r="Y125" s="360"/>
      <c r="Z125" s="360"/>
      <c r="AA125" s="360"/>
      <c r="AB125" s="360"/>
      <c r="AC125" s="360"/>
      <c r="AD125" s="360"/>
    </row>
    <row r="126" spans="17:30">
      <c r="Q126" s="360"/>
      <c r="R126" s="360"/>
      <c r="S126" s="360"/>
      <c r="T126" s="360"/>
      <c r="U126" s="360"/>
      <c r="V126" s="360"/>
      <c r="W126" s="360"/>
      <c r="X126" s="360"/>
      <c r="Y126" s="360"/>
      <c r="Z126" s="360"/>
      <c r="AA126" s="360"/>
      <c r="AB126" s="360"/>
      <c r="AC126" s="360"/>
      <c r="AD126" s="360"/>
    </row>
    <row r="127" spans="17:30">
      <c r="Q127" s="360"/>
      <c r="R127" s="360"/>
      <c r="S127" s="360"/>
      <c r="T127" s="360"/>
      <c r="U127" s="360"/>
      <c r="V127" s="360"/>
      <c r="W127" s="360"/>
      <c r="X127" s="360"/>
      <c r="Y127" s="360"/>
      <c r="Z127" s="360"/>
      <c r="AA127" s="360"/>
      <c r="AB127" s="360"/>
      <c r="AC127" s="360"/>
      <c r="AD127" s="360"/>
    </row>
  </sheetData>
  <sheetProtection algorithmName="SHA-512" hashValue="5bhfWjMnHsk1ea+/QkV/d4GW8rYamQ00RtnXec6mwgT1UrBcG6vOwTuxOCB/VwPjwUSCl+shc2RpThTD9e66VQ==" saltValue="C+gv9TEMvoM0fCcduIZV3A==" spinCount="100000" sheet="1" objects="1" scenarios="1" selectLockedCells="1"/>
  <mergeCells count="28">
    <mergeCell ref="E20:F21"/>
    <mergeCell ref="G20:G21"/>
    <mergeCell ref="H20:L20"/>
    <mergeCell ref="B2:B4"/>
    <mergeCell ref="C2:K2"/>
    <mergeCell ref="C3:K3"/>
    <mergeCell ref="C4:K4"/>
    <mergeCell ref="B6:K6"/>
    <mergeCell ref="C9:F9"/>
    <mergeCell ref="B12:L13"/>
    <mergeCell ref="B15:C15"/>
    <mergeCell ref="E15:F15"/>
    <mergeCell ref="G15:I15"/>
    <mergeCell ref="G16:G18"/>
    <mergeCell ref="C29:F29"/>
    <mergeCell ref="B32:L33"/>
    <mergeCell ref="W34:AB34"/>
    <mergeCell ref="B35:C35"/>
    <mergeCell ref="E35:F35"/>
    <mergeCell ref="G35:I35"/>
    <mergeCell ref="B55:H55"/>
    <mergeCell ref="B57:J57"/>
    <mergeCell ref="G36:G38"/>
    <mergeCell ref="B37:C38"/>
    <mergeCell ref="E40:F40"/>
    <mergeCell ref="G40:G42"/>
    <mergeCell ref="H40:N40"/>
    <mergeCell ref="B50:I50"/>
  </mergeCells>
  <conditionalFormatting sqref="C20">
    <cfRule type="expression" dxfId="16" priority="6">
      <formula>$D$53="errore o dati mancanti"</formula>
    </cfRule>
  </conditionalFormatting>
  <conditionalFormatting sqref="C43">
    <cfRule type="expression" dxfId="15" priority="5">
      <formula>#REF!="errore o dati mancanti"</formula>
    </cfRule>
  </conditionalFormatting>
  <conditionalFormatting sqref="F22:F23">
    <cfRule type="expression" dxfId="14" priority="7">
      <formula>#REF!&lt;&gt;"Residenziale"</formula>
    </cfRule>
  </conditionalFormatting>
  <conditionalFormatting sqref="F37">
    <cfRule type="expression" dxfId="13" priority="3">
      <formula>#REF!&lt;&gt;"errore o dati mancanti"</formula>
    </cfRule>
    <cfRule type="expression" dxfId="12" priority="4">
      <formula>#REF!="errore o dati mancanti"</formula>
    </cfRule>
  </conditionalFormatting>
  <conditionalFormatting sqref="F43">
    <cfRule type="expression" dxfId="11" priority="1">
      <formula>#REF!&lt;&gt;"errore o dati mancanti"</formula>
    </cfRule>
    <cfRule type="expression" dxfId="10" priority="2">
      <formula>#REF!="errore o dati mancanti"</formula>
    </cfRule>
  </conditionalFormatting>
  <dataValidations disablePrompts="1" count="7">
    <dataValidation type="list" allowBlank="1" showInputMessage="1" showErrorMessage="1" sqref="K55">
      <formula1>$B$63:$R$63</formula1>
    </dataValidation>
    <dataValidation type="list" allowBlank="1" showInputMessage="1" showErrorMessage="1" sqref="F42">
      <formula1>$I$41:$N$41</formula1>
    </dataValidation>
    <dataValidation type="list" allowBlank="1" showInputMessage="1" showErrorMessage="1" sqref="F41">
      <formula1>$H$41:$N$41</formula1>
    </dataValidation>
    <dataValidation type="list" allowBlank="1" showInputMessage="1" showErrorMessage="1" sqref="F36">
      <formula1>$H$36:$H$38</formula1>
    </dataValidation>
    <dataValidation type="list" allowBlank="1" showInputMessage="1" showErrorMessage="1" sqref="F22">
      <formula1>$H$21:$L$21</formula1>
    </dataValidation>
    <dataValidation type="list" allowBlank="1" showInputMessage="1" showErrorMessage="1" sqref="F16">
      <formula1>$H$16:$H$18</formula1>
    </dataValidation>
    <dataValidation type="list" allowBlank="1" showInputMessage="1" showErrorMessage="1" sqref="F23">
      <formula1>$G$22:$G$26</formula1>
    </dataValidation>
  </dataValidations>
  <hyperlinks>
    <hyperlink ref="C9" r:id="rId1"/>
    <hyperlink ref="C29" r:id="rId2"/>
    <hyperlink ref="Z37" r:id="rId3"/>
    <hyperlink ref="Z36" r:id="rId4" display="https://statistica.regione.emilia-romagna.it/turismo/dati-preliminari"/>
  </hyperlinks>
  <pageMargins left="0.7" right="0.7" top="0.75" bottom="0.75" header="0.3" footer="0.3"/>
  <pageSetup paperSize="8" scale="64" orientation="portrait" horizontalDpi="1200" verticalDpi="1200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3"/>
  <sheetViews>
    <sheetView showGridLines="0" zoomScaleNormal="100" workbookViewId="0">
      <selection activeCell="C20" sqref="C20"/>
    </sheetView>
  </sheetViews>
  <sheetFormatPr defaultColWidth="9.140625" defaultRowHeight="12.75"/>
  <cols>
    <col min="1" max="1" width="5.5703125" style="4" customWidth="1"/>
    <col min="2" max="2" width="26" style="4" customWidth="1"/>
    <col min="3" max="3" width="13.85546875" style="4" customWidth="1"/>
    <col min="4" max="4" width="7.42578125" style="4" customWidth="1"/>
    <col min="5" max="5" width="25.5703125" style="4" customWidth="1"/>
    <col min="6" max="6" width="15.5703125" style="4" customWidth="1"/>
    <col min="7" max="11" width="12.5703125" style="4" customWidth="1"/>
    <col min="12" max="12" width="12.5703125" style="12" customWidth="1"/>
    <col min="13" max="14" width="12.5703125" style="4" customWidth="1"/>
    <col min="15" max="15" width="5.5703125" style="4" customWidth="1"/>
    <col min="16" max="16" width="3.5703125" style="4" customWidth="1"/>
    <col min="17" max="17" width="10.5703125" style="4" customWidth="1"/>
    <col min="18" max="18" width="5.5703125" style="4" customWidth="1"/>
    <col min="19" max="19" width="25.5703125" style="4" customWidth="1"/>
    <col min="20" max="20" width="15.5703125" style="4" customWidth="1"/>
    <col min="21" max="21" width="12.5703125" style="4" customWidth="1"/>
    <col min="22" max="22" width="15.5703125" style="4" customWidth="1"/>
    <col min="23" max="24" width="12.5703125" style="4" customWidth="1"/>
    <col min="25" max="16384" width="9.140625" style="4"/>
  </cols>
  <sheetData>
    <row r="1" spans="2:28" ht="13.5" thickBot="1"/>
    <row r="2" spans="2:28" ht="35.1" customHeight="1">
      <c r="B2" s="886" t="s">
        <v>330</v>
      </c>
      <c r="C2" s="889" t="s">
        <v>364</v>
      </c>
      <c r="D2" s="890"/>
      <c r="E2" s="890"/>
      <c r="F2" s="890"/>
      <c r="G2" s="890"/>
      <c r="H2" s="890"/>
      <c r="I2" s="890"/>
      <c r="J2" s="890"/>
      <c r="K2" s="891"/>
      <c r="L2" s="4"/>
    </row>
    <row r="3" spans="2:28" ht="35.1" customHeight="1">
      <c r="B3" s="887"/>
      <c r="C3" s="892" t="s">
        <v>372</v>
      </c>
      <c r="D3" s="893"/>
      <c r="E3" s="893"/>
      <c r="F3" s="893"/>
      <c r="G3" s="893"/>
      <c r="H3" s="893"/>
      <c r="I3" s="893"/>
      <c r="J3" s="893"/>
      <c r="K3" s="894"/>
      <c r="L3" s="4"/>
    </row>
    <row r="4" spans="2:28" ht="35.1" customHeight="1" thickBot="1">
      <c r="B4" s="888"/>
      <c r="C4" s="895" t="s">
        <v>477</v>
      </c>
      <c r="D4" s="896"/>
      <c r="E4" s="896"/>
      <c r="F4" s="896"/>
      <c r="G4" s="896"/>
      <c r="H4" s="896"/>
      <c r="I4" s="896"/>
      <c r="J4" s="896"/>
      <c r="K4" s="897"/>
      <c r="L4" s="4"/>
    </row>
    <row r="5" spans="2:28" ht="9.9499999999999993" customHeight="1">
      <c r="B5" s="341"/>
      <c r="C5" s="342"/>
      <c r="D5" s="342"/>
      <c r="E5" s="342"/>
      <c r="F5" s="342"/>
      <c r="G5" s="342"/>
      <c r="H5" s="342"/>
      <c r="I5" s="342"/>
      <c r="J5" s="342"/>
      <c r="K5" s="342"/>
      <c r="L5" s="4"/>
    </row>
    <row r="6" spans="2:28" ht="24.95" customHeight="1">
      <c r="B6" s="815" t="s">
        <v>24</v>
      </c>
      <c r="C6" s="845"/>
      <c r="D6" s="845"/>
      <c r="E6" s="845"/>
      <c r="F6" s="845"/>
      <c r="G6" s="845"/>
      <c r="H6" s="845"/>
      <c r="I6" s="845"/>
      <c r="J6" s="845"/>
      <c r="K6" s="846"/>
      <c r="L6" s="4"/>
    </row>
    <row r="7" spans="2:28" ht="24.75" customHeight="1">
      <c r="B7" s="228"/>
      <c r="C7" s="229"/>
      <c r="D7" s="229"/>
      <c r="E7" s="229"/>
      <c r="F7" s="229"/>
      <c r="G7" s="229"/>
      <c r="H7" s="230"/>
      <c r="I7" s="230"/>
      <c r="J7" s="230"/>
      <c r="K7" s="231"/>
    </row>
    <row r="8" spans="2:28" ht="24.75" customHeight="1">
      <c r="B8" s="6" t="s">
        <v>331</v>
      </c>
      <c r="H8" s="137" t="s">
        <v>611</v>
      </c>
      <c r="K8" s="32"/>
      <c r="L8" s="4"/>
    </row>
    <row r="9" spans="2:28" ht="24.75" customHeight="1">
      <c r="B9" s="45" t="s">
        <v>428</v>
      </c>
      <c r="C9" s="807" t="s">
        <v>92</v>
      </c>
      <c r="D9" s="808"/>
      <c r="E9" s="808"/>
      <c r="F9" s="808"/>
      <c r="H9" s="137" t="s">
        <v>476</v>
      </c>
      <c r="K9" s="32"/>
      <c r="L9" s="4"/>
    </row>
    <row r="10" spans="2:28" ht="24.75" customHeight="1">
      <c r="B10" s="45"/>
      <c r="C10" s="369" t="s">
        <v>336</v>
      </c>
      <c r="D10"/>
      <c r="E10"/>
      <c r="H10" s="137" t="s">
        <v>612</v>
      </c>
      <c r="K10" s="32"/>
      <c r="L10" s="4"/>
    </row>
    <row r="11" spans="2:28" ht="15" customHeight="1">
      <c r="B11" s="45"/>
      <c r="C11" s="387"/>
      <c r="D11"/>
      <c r="E11"/>
      <c r="K11" s="32"/>
      <c r="L11" s="4"/>
    </row>
    <row r="12" spans="2:28" ht="24.75" customHeight="1">
      <c r="B12" s="872" t="s">
        <v>431</v>
      </c>
      <c r="C12" s="873"/>
      <c r="D12" s="873"/>
      <c r="E12" s="873"/>
      <c r="F12" s="873"/>
      <c r="G12" s="873"/>
      <c r="H12" s="873"/>
      <c r="I12" s="873"/>
      <c r="J12" s="873"/>
      <c r="K12" s="873"/>
      <c r="L12" s="874"/>
      <c r="M12" s="469"/>
      <c r="N12" s="29"/>
      <c r="Q12" s="504" t="s">
        <v>517</v>
      </c>
    </row>
    <row r="13" spans="2:28" ht="24.75" customHeight="1" thickBot="1">
      <c r="B13" s="875"/>
      <c r="C13" s="876"/>
      <c r="D13" s="876"/>
      <c r="E13" s="876"/>
      <c r="F13" s="876"/>
      <c r="G13" s="876"/>
      <c r="H13" s="876"/>
      <c r="I13" s="876"/>
      <c r="J13" s="876"/>
      <c r="K13" s="876"/>
      <c r="L13" s="877"/>
      <c r="M13" s="227"/>
      <c r="N13" s="30"/>
      <c r="Q13" s="44"/>
    </row>
    <row r="14" spans="2:28" ht="24.75" customHeight="1" thickBot="1">
      <c r="B14" s="227"/>
      <c r="L14" s="30"/>
      <c r="M14" s="227"/>
      <c r="N14" s="30"/>
      <c r="Q14" s="505" t="s">
        <v>258</v>
      </c>
      <c r="R14" s="506" t="s">
        <v>1</v>
      </c>
      <c r="S14" s="507" t="s">
        <v>487</v>
      </c>
      <c r="T14" s="508" t="e">
        <f>(S15*S16*S17*1000)/S18</f>
        <v>#DIV/0!</v>
      </c>
      <c r="U14" s="509"/>
      <c r="V14" s="522" t="e">
        <f>T14/0.475</f>
        <v>#DIV/0!</v>
      </c>
      <c r="W14" s="852"/>
      <c r="X14" s="853"/>
      <c r="Y14" s="853"/>
      <c r="Z14" s="853"/>
      <c r="AA14" s="853"/>
      <c r="AB14" s="853"/>
    </row>
    <row r="15" spans="2:28" ht="24.75" customHeight="1">
      <c r="B15" s="632" t="s">
        <v>373</v>
      </c>
      <c r="C15" s="803"/>
      <c r="D15" s="44"/>
      <c r="E15" s="632" t="s">
        <v>93</v>
      </c>
      <c r="F15" s="804"/>
      <c r="G15" s="791" t="s">
        <v>94</v>
      </c>
      <c r="H15" s="792"/>
      <c r="I15" s="793"/>
      <c r="J15" s="170"/>
      <c r="K15" s="171"/>
      <c r="L15" s="50"/>
      <c r="M15" s="227"/>
      <c r="N15" s="30"/>
      <c r="Q15" s="170" t="s">
        <v>406</v>
      </c>
      <c r="R15" s="170" t="s">
        <v>1</v>
      </c>
      <c r="S15" s="510">
        <v>0</v>
      </c>
      <c r="T15" s="511" t="s">
        <v>489</v>
      </c>
    </row>
    <row r="16" spans="2:28" ht="24.75" customHeight="1">
      <c r="B16" s="3"/>
      <c r="C16" s="172"/>
      <c r="D16" s="44"/>
      <c r="E16" s="51" t="s">
        <v>95</v>
      </c>
      <c r="F16" s="173" t="s">
        <v>96</v>
      </c>
      <c r="G16" s="794" t="s">
        <v>97</v>
      </c>
      <c r="H16" s="174" t="s">
        <v>98</v>
      </c>
      <c r="I16" s="175">
        <v>1</v>
      </c>
      <c r="J16" s="170"/>
      <c r="K16" s="170"/>
      <c r="L16" s="50"/>
      <c r="M16" s="227"/>
      <c r="N16" s="30"/>
      <c r="Q16" s="170" t="s">
        <v>490</v>
      </c>
      <c r="R16" s="170" t="s">
        <v>1</v>
      </c>
      <c r="S16" s="531">
        <v>0.40039999999999998</v>
      </c>
      <c r="T16" s="511" t="s">
        <v>491</v>
      </c>
      <c r="Z16" s="512" t="s">
        <v>492</v>
      </c>
    </row>
    <row r="17" spans="2:28" ht="24.75" customHeight="1">
      <c r="B17" s="854" t="s">
        <v>184</v>
      </c>
      <c r="C17" s="855"/>
      <c r="D17" s="44"/>
      <c r="E17" s="394" t="s">
        <v>474</v>
      </c>
      <c r="F17" s="257">
        <f>IF(F16=H16,AVERAGE(C20:C21)*I16,IF(F16=H17,AVERAGE(C20:C21)*I17,IF(F16=H18,AVERAGE(C20:C21)*I18,"errore o dati mancanti")))</f>
        <v>0</v>
      </c>
      <c r="G17" s="795"/>
      <c r="H17" s="174" t="s">
        <v>96</v>
      </c>
      <c r="I17" s="175">
        <v>1.3</v>
      </c>
      <c r="J17" s="170"/>
      <c r="K17" s="170"/>
      <c r="L17" s="50"/>
      <c r="M17" s="227"/>
      <c r="N17" s="30"/>
      <c r="Q17" s="170" t="s">
        <v>493</v>
      </c>
      <c r="R17" s="170" t="s">
        <v>1</v>
      </c>
      <c r="S17" s="532">
        <v>95.21</v>
      </c>
      <c r="T17" s="511" t="s">
        <v>514</v>
      </c>
      <c r="Y17" s="12"/>
      <c r="Z17" s="514" t="s">
        <v>494</v>
      </c>
    </row>
    <row r="18" spans="2:28" ht="24.75" customHeight="1">
      <c r="B18" s="856"/>
      <c r="C18" s="857"/>
      <c r="D18" s="239"/>
      <c r="E18" s="395" t="s">
        <v>475</v>
      </c>
      <c r="F18" s="178"/>
      <c r="G18" s="796"/>
      <c r="H18" s="240" t="s">
        <v>101</v>
      </c>
      <c r="I18" s="175">
        <v>1.9</v>
      </c>
      <c r="J18" s="170"/>
      <c r="K18" s="170"/>
      <c r="L18" s="50"/>
      <c r="M18" s="227"/>
      <c r="N18" s="30"/>
      <c r="Q18" s="170" t="s">
        <v>495</v>
      </c>
      <c r="R18" s="170" t="s">
        <v>1</v>
      </c>
      <c r="S18" s="513">
        <v>0</v>
      </c>
      <c r="T18" s="511" t="s">
        <v>496</v>
      </c>
    </row>
    <row r="19" spans="2:28" ht="24.75" customHeight="1">
      <c r="B19" s="49"/>
      <c r="C19" s="179"/>
      <c r="D19" s="44"/>
      <c r="E19" s="180"/>
      <c r="F19" s="180"/>
      <c r="G19" s="170"/>
      <c r="H19" s="241"/>
      <c r="I19" s="170"/>
      <c r="J19" s="170"/>
      <c r="K19" s="170"/>
      <c r="L19" s="50"/>
      <c r="M19" s="470"/>
      <c r="N19" s="247"/>
      <c r="S19" s="515" t="s">
        <v>497</v>
      </c>
      <c r="T19" s="516" t="s">
        <v>525</v>
      </c>
    </row>
    <row r="20" spans="2:28" ht="24.75" customHeight="1">
      <c r="B20" s="55" t="s">
        <v>186</v>
      </c>
      <c r="C20" s="56">
        <v>0</v>
      </c>
      <c r="D20" s="44"/>
      <c r="E20" s="632" t="s">
        <v>187</v>
      </c>
      <c r="F20" s="804"/>
      <c r="G20" s="794" t="s">
        <v>188</v>
      </c>
      <c r="H20" s="791" t="s">
        <v>189</v>
      </c>
      <c r="I20" s="792"/>
      <c r="J20" s="792"/>
      <c r="K20" s="792"/>
      <c r="L20" s="792"/>
      <c r="M20" s="859"/>
      <c r="N20" s="860"/>
      <c r="T20" s="516" t="s">
        <v>515</v>
      </c>
    </row>
    <row r="21" spans="2:28" ht="24.75" customHeight="1">
      <c r="B21" s="55" t="s">
        <v>191</v>
      </c>
      <c r="C21" s="56">
        <v>0</v>
      </c>
      <c r="D21" s="44"/>
      <c r="E21" s="65" t="s">
        <v>192</v>
      </c>
      <c r="F21" s="181" t="s">
        <v>432</v>
      </c>
      <c r="G21" s="795"/>
      <c r="H21" s="242" t="s">
        <v>194</v>
      </c>
      <c r="I21" s="242" t="s">
        <v>193</v>
      </c>
      <c r="J21" s="242" t="s">
        <v>195</v>
      </c>
      <c r="K21" s="242" t="s">
        <v>196</v>
      </c>
      <c r="L21" s="242" t="s">
        <v>432</v>
      </c>
      <c r="M21" s="242" t="s">
        <v>433</v>
      </c>
      <c r="N21" s="242" t="s">
        <v>434</v>
      </c>
    </row>
    <row r="22" spans="2:28" ht="24.75" customHeight="1">
      <c r="B22" s="391"/>
      <c r="C22" s="486" t="s">
        <v>365</v>
      </c>
      <c r="D22" s="44"/>
      <c r="E22" s="243" t="s">
        <v>440</v>
      </c>
      <c r="F22" s="181" t="s">
        <v>432</v>
      </c>
      <c r="G22" s="858"/>
      <c r="H22" s="175">
        <v>1</v>
      </c>
      <c r="I22" s="175">
        <v>0.81</v>
      </c>
      <c r="J22" s="175">
        <v>1.52</v>
      </c>
      <c r="K22" s="175">
        <v>0.85</v>
      </c>
      <c r="L22" s="175">
        <v>0.33</v>
      </c>
      <c r="M22" s="175">
        <v>0.53</v>
      </c>
      <c r="N22" s="175">
        <v>0.37</v>
      </c>
    </row>
    <row r="23" spans="2:28" ht="24.75" customHeight="1">
      <c r="B23" s="234" t="s">
        <v>258</v>
      </c>
      <c r="C23" s="183">
        <f>F23</f>
        <v>0</v>
      </c>
      <c r="D23" s="244"/>
      <c r="E23" s="487" t="s">
        <v>453</v>
      </c>
      <c r="F23" s="258">
        <f>IF(AND(F21=I21,F22=I21),F17*H22,IF(AND(F21=J21,F22=J21),F17*H22,IF(AND(F21=K21,F22=K21),F17*H22,IF(AND(F21=L21,F22=L21),F17*H22,IF(AND(F21=M21,F22=M21),F17*H22,IF(AND(F21=N21,F22=N21),F17*H22,IF(AND(F21=H21,F22=I21),F17*I22,IF(AND(F21=H21,F22=J21),F17*J22,IF(AND(F21=H21,F22=K21),F17*K22,IF(AND(F21=H21,F22=L21),F17*L22,IF(AND(F21=H21,F22=M21),F17*M22,IF(AND(F21=H21,F22=N21),F17*N22,"errore/dati mancanti"))))))))))))</f>
        <v>0</v>
      </c>
      <c r="G23" s="246"/>
      <c r="H23" s="246"/>
      <c r="I23" s="246"/>
      <c r="J23" s="246"/>
      <c r="K23" s="246"/>
      <c r="L23" s="209"/>
      <c r="M23" s="209"/>
      <c r="N23" s="471"/>
    </row>
    <row r="24" spans="2:28" ht="24.75" customHeight="1">
      <c r="B24" s="47"/>
      <c r="C24" s="47"/>
      <c r="D24" s="47"/>
      <c r="E24" s="237"/>
      <c r="F24" s="60"/>
      <c r="G24" s="238"/>
      <c r="H24" s="131"/>
      <c r="I24" s="131"/>
      <c r="J24" s="131"/>
      <c r="K24" s="131"/>
      <c r="L24" s="131"/>
      <c r="S24" s="270"/>
    </row>
    <row r="25" spans="2:28" ht="24.75" customHeight="1">
      <c r="B25" s="6" t="s">
        <v>329</v>
      </c>
      <c r="H25" s="533" t="s">
        <v>526</v>
      </c>
      <c r="K25" s="32"/>
      <c r="L25" s="4"/>
      <c r="S25" s="270"/>
    </row>
    <row r="26" spans="2:28" ht="24.75" customHeight="1">
      <c r="B26" s="45" t="s">
        <v>91</v>
      </c>
      <c r="C26" s="807" t="s">
        <v>92</v>
      </c>
      <c r="D26" s="808"/>
      <c r="E26" s="808"/>
      <c r="F26" s="808"/>
      <c r="H26" s="533" t="s">
        <v>527</v>
      </c>
      <c r="K26" s="32"/>
      <c r="L26" s="4"/>
      <c r="S26" s="270"/>
    </row>
    <row r="27" spans="2:28" ht="24.75" customHeight="1">
      <c r="B27" s="45"/>
      <c r="C27" s="369" t="s">
        <v>336</v>
      </c>
      <c r="D27"/>
      <c r="E27"/>
      <c r="K27" s="32"/>
      <c r="L27" s="4"/>
      <c r="S27" s="270"/>
    </row>
    <row r="28" spans="2:28" ht="15" customHeight="1">
      <c r="B28" s="45"/>
      <c r="C28" s="387"/>
      <c r="D28"/>
      <c r="E28"/>
      <c r="K28" s="32"/>
      <c r="L28" s="4"/>
      <c r="S28" s="270"/>
    </row>
    <row r="29" spans="2:28" ht="24.75" customHeight="1">
      <c r="B29" s="872" t="s">
        <v>439</v>
      </c>
      <c r="C29" s="873"/>
      <c r="D29" s="873"/>
      <c r="E29" s="873"/>
      <c r="F29" s="873"/>
      <c r="G29" s="873"/>
      <c r="H29" s="873"/>
      <c r="I29" s="873"/>
      <c r="J29" s="873"/>
      <c r="K29" s="873"/>
      <c r="L29" s="874"/>
      <c r="M29" s="469"/>
      <c r="N29" s="29"/>
      <c r="Q29" s="504" t="s">
        <v>517</v>
      </c>
    </row>
    <row r="30" spans="2:28" ht="24.75" customHeight="1" thickBot="1">
      <c r="B30" s="875"/>
      <c r="C30" s="876"/>
      <c r="D30" s="876"/>
      <c r="E30" s="876"/>
      <c r="F30" s="876"/>
      <c r="G30" s="876"/>
      <c r="H30" s="876"/>
      <c r="I30" s="876"/>
      <c r="J30" s="876"/>
      <c r="K30" s="876"/>
      <c r="L30" s="877"/>
      <c r="M30" s="227"/>
      <c r="N30" s="30"/>
      <c r="Q30" s="44"/>
    </row>
    <row r="31" spans="2:28" ht="24.75" customHeight="1" thickBot="1">
      <c r="B31" s="227"/>
      <c r="L31" s="30"/>
      <c r="M31" s="227"/>
      <c r="N31" s="30"/>
      <c r="Q31" s="505" t="s">
        <v>258</v>
      </c>
      <c r="R31" s="506" t="s">
        <v>1</v>
      </c>
      <c r="S31" s="507" t="s">
        <v>487</v>
      </c>
      <c r="T31" s="508" t="e">
        <f>(S32*S33*S34*1000)/S35</f>
        <v>#DIV/0!</v>
      </c>
      <c r="U31" s="509"/>
      <c r="V31" s="522" t="e">
        <f>T31/0.475</f>
        <v>#DIV/0!</v>
      </c>
      <c r="W31" s="852"/>
      <c r="X31" s="853"/>
      <c r="Y31" s="853"/>
      <c r="Z31" s="853"/>
      <c r="AA31" s="853"/>
      <c r="AB31" s="853"/>
    </row>
    <row r="32" spans="2:28" ht="24.75" customHeight="1">
      <c r="B32" s="632" t="s">
        <v>373</v>
      </c>
      <c r="C32" s="803"/>
      <c r="D32" s="44"/>
      <c r="E32" s="632" t="s">
        <v>93</v>
      </c>
      <c r="F32" s="804"/>
      <c r="G32" s="791" t="s">
        <v>94</v>
      </c>
      <c r="H32" s="792"/>
      <c r="I32" s="793"/>
      <c r="J32" s="170"/>
      <c r="K32" s="171"/>
      <c r="L32" s="50"/>
      <c r="M32" s="227"/>
      <c r="N32" s="30"/>
      <c r="Q32" s="170" t="s">
        <v>406</v>
      </c>
      <c r="R32" s="170" t="s">
        <v>1</v>
      </c>
      <c r="S32" s="510">
        <v>0</v>
      </c>
      <c r="T32" s="511" t="s">
        <v>489</v>
      </c>
    </row>
    <row r="33" spans="2:26" ht="24.75" customHeight="1">
      <c r="B33" s="3"/>
      <c r="C33" s="172"/>
      <c r="D33" s="44"/>
      <c r="E33" s="51" t="s">
        <v>95</v>
      </c>
      <c r="F33" s="173" t="s">
        <v>96</v>
      </c>
      <c r="G33" s="794" t="s">
        <v>97</v>
      </c>
      <c r="H33" s="174" t="s">
        <v>98</v>
      </c>
      <c r="I33" s="175">
        <v>1</v>
      </c>
      <c r="J33" s="170"/>
      <c r="K33" s="170"/>
      <c r="L33" s="50"/>
      <c r="M33" s="227"/>
      <c r="N33" s="30"/>
      <c r="Q33" s="170" t="s">
        <v>490</v>
      </c>
      <c r="R33" s="170" t="s">
        <v>1</v>
      </c>
      <c r="S33" s="531">
        <v>0.40039999999999998</v>
      </c>
      <c r="T33" s="511" t="s">
        <v>491</v>
      </c>
      <c r="Z33" s="512" t="s">
        <v>492</v>
      </c>
    </row>
    <row r="34" spans="2:26" ht="24.75" customHeight="1">
      <c r="B34" s="854" t="s">
        <v>184</v>
      </c>
      <c r="C34" s="855"/>
      <c r="D34" s="44"/>
      <c r="E34" s="394" t="s">
        <v>474</v>
      </c>
      <c r="F34" s="257">
        <f>IF(F33=H33,AVERAGE(C37:C38)*I33,IF(F33=H34,AVERAGE(C37:C38)*I34,IF(F33=H35,AVERAGE(C37:C38)*I35,"errore o dati mancanti")))</f>
        <v>0</v>
      </c>
      <c r="G34" s="795"/>
      <c r="H34" s="174" t="s">
        <v>96</v>
      </c>
      <c r="I34" s="175">
        <v>1.3</v>
      </c>
      <c r="J34" s="170"/>
      <c r="K34" s="170"/>
      <c r="L34" s="50"/>
      <c r="M34" s="227"/>
      <c r="N34" s="30"/>
      <c r="Q34" s="170" t="s">
        <v>493</v>
      </c>
      <c r="R34" s="170" t="s">
        <v>1</v>
      </c>
      <c r="S34" s="532">
        <v>95.21</v>
      </c>
      <c r="T34" s="511" t="s">
        <v>514</v>
      </c>
      <c r="Y34" s="12"/>
      <c r="Z34" s="514" t="s">
        <v>494</v>
      </c>
    </row>
    <row r="35" spans="2:26" ht="24.75" customHeight="1">
      <c r="B35" s="856"/>
      <c r="C35" s="857"/>
      <c r="D35" s="239"/>
      <c r="E35" s="395" t="s">
        <v>475</v>
      </c>
      <c r="F35" s="178"/>
      <c r="G35" s="796"/>
      <c r="H35" s="240" t="s">
        <v>101</v>
      </c>
      <c r="I35" s="175">
        <v>1.9</v>
      </c>
      <c r="J35" s="170"/>
      <c r="K35" s="170"/>
      <c r="L35" s="50"/>
      <c r="M35" s="227"/>
      <c r="N35" s="30"/>
      <c r="Q35" s="170" t="s">
        <v>495</v>
      </c>
      <c r="R35" s="170" t="s">
        <v>1</v>
      </c>
      <c r="S35" s="513">
        <v>0</v>
      </c>
      <c r="T35" s="511" t="s">
        <v>496</v>
      </c>
    </row>
    <row r="36" spans="2:26" ht="24.75" customHeight="1">
      <c r="B36" s="49"/>
      <c r="C36" s="179"/>
      <c r="D36" s="44"/>
      <c r="E36" s="180"/>
      <c r="F36" s="180"/>
      <c r="G36" s="170"/>
      <c r="H36" s="241"/>
      <c r="I36" s="170"/>
      <c r="J36" s="170"/>
      <c r="K36" s="170"/>
      <c r="L36" s="50"/>
      <c r="M36" s="470"/>
      <c r="N36" s="247"/>
      <c r="S36" s="515" t="s">
        <v>497</v>
      </c>
      <c r="T36" s="516" t="s">
        <v>525</v>
      </c>
    </row>
    <row r="37" spans="2:26" ht="24.75" customHeight="1">
      <c r="B37" s="55" t="s">
        <v>186</v>
      </c>
      <c r="C37" s="56">
        <v>0</v>
      </c>
      <c r="D37" s="44"/>
      <c r="E37" s="632" t="s">
        <v>187</v>
      </c>
      <c r="F37" s="804"/>
      <c r="G37" s="794" t="s">
        <v>188</v>
      </c>
      <c r="H37" s="791" t="s">
        <v>189</v>
      </c>
      <c r="I37" s="792"/>
      <c r="J37" s="792"/>
      <c r="K37" s="792"/>
      <c r="L37" s="792"/>
      <c r="M37" s="859"/>
      <c r="N37" s="860"/>
      <c r="T37" s="516" t="s">
        <v>515</v>
      </c>
    </row>
    <row r="38" spans="2:26" ht="24.75" customHeight="1">
      <c r="B38" s="55" t="s">
        <v>191</v>
      </c>
      <c r="C38" s="56">
        <v>0</v>
      </c>
      <c r="D38" s="44"/>
      <c r="E38" s="65" t="s">
        <v>192</v>
      </c>
      <c r="F38" s="181" t="s">
        <v>193</v>
      </c>
      <c r="G38" s="795"/>
      <c r="H38" s="242" t="s">
        <v>194</v>
      </c>
      <c r="I38" s="242" t="s">
        <v>193</v>
      </c>
      <c r="J38" s="242" t="s">
        <v>195</v>
      </c>
      <c r="K38" s="242" t="s">
        <v>196</v>
      </c>
      <c r="L38" s="242" t="s">
        <v>432</v>
      </c>
      <c r="M38" s="242" t="s">
        <v>433</v>
      </c>
      <c r="N38" s="242" t="s">
        <v>434</v>
      </c>
      <c r="S38" s="270"/>
    </row>
    <row r="39" spans="2:26" ht="24.75" customHeight="1">
      <c r="B39" s="391"/>
      <c r="C39" s="486" t="s">
        <v>365</v>
      </c>
      <c r="D39" s="44"/>
      <c r="E39" s="243" t="s">
        <v>197</v>
      </c>
      <c r="F39" s="181" t="s">
        <v>193</v>
      </c>
      <c r="G39" s="858"/>
      <c r="H39" s="175">
        <v>1</v>
      </c>
      <c r="I39" s="175">
        <v>0.81</v>
      </c>
      <c r="J39" s="175">
        <v>1.52</v>
      </c>
      <c r="K39" s="175">
        <v>0.85</v>
      </c>
      <c r="L39" s="175">
        <v>0.33</v>
      </c>
      <c r="M39" s="175">
        <v>0.53</v>
      </c>
      <c r="N39" s="175">
        <v>0.37</v>
      </c>
      <c r="S39" s="270"/>
    </row>
    <row r="40" spans="2:26" ht="24.75" customHeight="1">
      <c r="B40" s="234" t="s">
        <v>259</v>
      </c>
      <c r="C40" s="183">
        <f>F40</f>
        <v>0</v>
      </c>
      <c r="D40" s="244"/>
      <c r="E40" s="245"/>
      <c r="F40" s="258">
        <f>IF(AND(F38=I38,F39=I38),F34*H39,IF(AND(F38=J38,F39=J38),F34*H39,IF(AND(F38=K38,F39=K38),F34*H39,IF(AND(F38=L38,F39=L38),F34*H39,IF(AND(F38=M38,F39=M38),F34*H39,IF(AND(F38=N38,F39=N38),F34*H39,IF(AND(F38=H38,F39=I38),F34*I39,IF(AND(F38=H38,F39=J38),F34*J39,IF(AND(F38=H38,F39=K38),F34*K39,IF(AND(F38=H38,F39=L38),F34*L39,IF(AND(F38=H38,F39=M38),F34*M39,IF(AND(F38=H38,F39=N38),F34*N39,"errore/dati mancanti"))))))))))))</f>
        <v>0</v>
      </c>
      <c r="G40" s="246"/>
      <c r="H40" s="246"/>
      <c r="I40" s="246"/>
      <c r="J40" s="246"/>
      <c r="K40" s="246"/>
      <c r="L40" s="209"/>
      <c r="M40" s="209"/>
      <c r="N40" s="471"/>
      <c r="S40" s="270"/>
    </row>
    <row r="41" spans="2:26" ht="24.75" customHeight="1">
      <c r="N41" s="44"/>
      <c r="O41" s="44"/>
    </row>
    <row r="42" spans="2:26" ht="24.75" customHeight="1">
      <c r="B42" s="6" t="s">
        <v>261</v>
      </c>
      <c r="N42" s="44"/>
      <c r="O42" s="44"/>
    </row>
    <row r="43" spans="2:26" ht="15" customHeight="1">
      <c r="B43" s="6"/>
      <c r="N43" s="44"/>
      <c r="O43" s="44"/>
    </row>
    <row r="44" spans="2:26" ht="24.75" customHeight="1">
      <c r="B44" s="248" t="s">
        <v>256</v>
      </c>
      <c r="C44" s="249">
        <f>IF((C40-C23)*0.475&lt;0,0,(C40-C23)*0.475)</f>
        <v>0</v>
      </c>
      <c r="D44" s="47"/>
      <c r="E44" s="237"/>
      <c r="F44" s="60"/>
      <c r="G44" s="238"/>
      <c r="H44" s="131"/>
      <c r="I44" s="131"/>
      <c r="J44" s="131"/>
      <c r="K44" s="131"/>
      <c r="L44" s="131"/>
    </row>
    <row r="45" spans="2:26" ht="24.75" customHeight="1" thickBot="1"/>
    <row r="46" spans="2:26" s="12" customFormat="1" ht="24.75" customHeight="1">
      <c r="B46" s="81" t="s">
        <v>267</v>
      </c>
      <c r="C46" s="82"/>
      <c r="D46" s="82"/>
      <c r="E46" s="82"/>
      <c r="F46" s="82"/>
      <c r="G46" s="82"/>
      <c r="H46" s="82"/>
      <c r="I46" s="82"/>
      <c r="J46" s="82"/>
      <c r="K46" s="370" t="s">
        <v>129</v>
      </c>
      <c r="N46" s="194"/>
      <c r="O46" s="194"/>
    </row>
    <row r="47" spans="2:26" s="12" customFormat="1" ht="24.75" customHeight="1">
      <c r="B47" s="834" t="s">
        <v>190</v>
      </c>
      <c r="C47" s="835"/>
      <c r="D47" s="835"/>
      <c r="E47" s="835"/>
      <c r="F47" s="835"/>
      <c r="G47" s="835"/>
      <c r="H47" s="835"/>
      <c r="I47" s="835"/>
      <c r="J47" s="4"/>
      <c r="K47" s="371" t="s">
        <v>126</v>
      </c>
    </row>
    <row r="48" spans="2:26">
      <c r="B48" s="91" t="s">
        <v>115</v>
      </c>
      <c r="E48" s="495" t="s">
        <v>470</v>
      </c>
      <c r="K48" s="92"/>
    </row>
    <row r="49" spans="2:18">
      <c r="B49" s="94" t="s">
        <v>169</v>
      </c>
      <c r="K49" s="92"/>
    </row>
    <row r="50" spans="2:18" ht="24.75" customHeight="1">
      <c r="B50" s="493" t="s">
        <v>468</v>
      </c>
      <c r="C50" s="79"/>
      <c r="D50" s="97" t="s">
        <v>172</v>
      </c>
      <c r="E50" s="513">
        <v>0</v>
      </c>
      <c r="F50" s="97" t="s">
        <v>173</v>
      </c>
      <c r="G50" s="513">
        <v>0</v>
      </c>
      <c r="H50" s="250"/>
      <c r="I50" s="149" t="s">
        <v>198</v>
      </c>
      <c r="J50" s="184">
        <f>E50+0.6*G50</f>
        <v>0</v>
      </c>
      <c r="K50" s="92"/>
      <c r="L50" s="198"/>
      <c r="M50" s="198"/>
    </row>
    <row r="51" spans="2:18" ht="24.75" customHeight="1">
      <c r="B51" s="94"/>
      <c r="C51" s="79"/>
      <c r="D51" s="97"/>
      <c r="E51" s="250"/>
      <c r="F51" s="97"/>
      <c r="G51" s="250"/>
      <c r="H51" s="75"/>
      <c r="I51" s="186"/>
      <c r="K51" s="251"/>
      <c r="L51" s="4"/>
    </row>
    <row r="52" spans="2:18" ht="30" customHeight="1">
      <c r="B52" s="848" t="s">
        <v>199</v>
      </c>
      <c r="C52" s="789"/>
      <c r="D52" s="789"/>
      <c r="E52" s="789"/>
      <c r="F52" s="789"/>
      <c r="G52" s="789"/>
      <c r="H52" s="789"/>
      <c r="I52" s="187">
        <f>HLOOKUP(K52,B60:R61,2,0)</f>
        <v>7</v>
      </c>
      <c r="J52" s="358" t="s">
        <v>227</v>
      </c>
      <c r="K52" s="189" t="s">
        <v>204</v>
      </c>
      <c r="L52" s="4"/>
    </row>
    <row r="53" spans="2:18" ht="9.9499999999999993" customHeight="1">
      <c r="B53" s="190"/>
      <c r="C53" s="191"/>
      <c r="D53" s="191"/>
      <c r="E53" s="191"/>
      <c r="F53" s="191"/>
      <c r="G53" s="191"/>
      <c r="H53" s="191"/>
      <c r="I53" s="97"/>
      <c r="J53" s="97"/>
      <c r="K53" s="185"/>
      <c r="L53" s="4"/>
    </row>
    <row r="54" spans="2:18" ht="30" customHeight="1">
      <c r="B54" s="788" t="s">
        <v>532</v>
      </c>
      <c r="C54" s="870"/>
      <c r="D54" s="870"/>
      <c r="E54" s="870"/>
      <c r="F54" s="870"/>
      <c r="G54" s="870"/>
      <c r="H54" s="870"/>
      <c r="I54" s="870"/>
      <c r="J54" s="885"/>
      <c r="K54" s="517" t="s">
        <v>126</v>
      </c>
      <c r="L54" s="4"/>
    </row>
    <row r="55" spans="2:18" ht="24.75" customHeight="1" thickBot="1">
      <c r="B55" s="153"/>
      <c r="C55" s="154"/>
      <c r="D55" s="154"/>
      <c r="E55" s="154"/>
      <c r="F55" s="154"/>
      <c r="G55" s="154"/>
      <c r="H55" s="154"/>
      <c r="I55" s="104"/>
      <c r="J55" s="192">
        <v>0</v>
      </c>
      <c r="K55" s="193">
        <v>35</v>
      </c>
      <c r="L55" s="4"/>
    </row>
    <row r="56" spans="2:18" ht="30" customHeight="1" thickBot="1">
      <c r="B56" s="106"/>
      <c r="C56" s="157"/>
      <c r="D56" s="107" t="s">
        <v>202</v>
      </c>
      <c r="E56" s="252">
        <f>IF(K54="SI",E57,IF(K54="NO",E58))</f>
        <v>0</v>
      </c>
      <c r="F56" s="108"/>
      <c r="G56" s="157"/>
      <c r="H56" s="157"/>
      <c r="I56" s="157"/>
      <c r="J56" s="157"/>
      <c r="K56" s="158"/>
      <c r="L56" s="4"/>
    </row>
    <row r="57" spans="2:18" ht="24.75" hidden="1" customHeight="1">
      <c r="B57" s="113"/>
      <c r="C57" s="113"/>
      <c r="D57" s="114" t="s">
        <v>203</v>
      </c>
      <c r="E57" s="114">
        <f>C44*J50*I52/100*(1-K55/100)</f>
        <v>0</v>
      </c>
      <c r="F57" s="116" t="s">
        <v>179</v>
      </c>
      <c r="G57" s="12"/>
      <c r="H57" s="12"/>
      <c r="I57" s="12"/>
      <c r="J57" s="12"/>
      <c r="K57" s="12"/>
      <c r="L57" s="4"/>
    </row>
    <row r="58" spans="2:18" s="196" customFormat="1" ht="24.75" hidden="1" customHeight="1">
      <c r="B58" s="113"/>
      <c r="C58" s="113"/>
      <c r="D58" s="114" t="s">
        <v>203</v>
      </c>
      <c r="E58" s="114">
        <f>C44*J50*I52/100*(1-J55/100)</f>
        <v>0</v>
      </c>
      <c r="F58" s="116" t="s">
        <v>179</v>
      </c>
      <c r="G58" s="12"/>
      <c r="H58" s="12"/>
      <c r="I58" s="12"/>
      <c r="J58" s="12"/>
      <c r="K58" s="12"/>
    </row>
    <row r="59" spans="2:18" s="197" customFormat="1" ht="24.75" hidden="1" customHeight="1"/>
    <row r="60" spans="2:18" ht="24.75" hidden="1" customHeight="1">
      <c r="B60" s="195" t="s">
        <v>204</v>
      </c>
      <c r="C60" s="195" t="s">
        <v>205</v>
      </c>
      <c r="D60" s="195" t="s">
        <v>201</v>
      </c>
      <c r="E60" s="195" t="s">
        <v>206</v>
      </c>
      <c r="F60" s="195" t="s">
        <v>207</v>
      </c>
      <c r="G60" s="195" t="s">
        <v>208</v>
      </c>
      <c r="H60" s="195" t="s">
        <v>209</v>
      </c>
      <c r="I60" s="195" t="s">
        <v>210</v>
      </c>
      <c r="J60" s="196" t="s">
        <v>211</v>
      </c>
      <c r="K60" s="196" t="s">
        <v>212</v>
      </c>
      <c r="L60" s="196" t="s">
        <v>213</v>
      </c>
      <c r="M60" s="196" t="s">
        <v>214</v>
      </c>
      <c r="N60" s="196" t="s">
        <v>215</v>
      </c>
      <c r="O60" s="196" t="s">
        <v>216</v>
      </c>
      <c r="P60" s="196" t="s">
        <v>217</v>
      </c>
      <c r="Q60" s="196" t="s">
        <v>437</v>
      </c>
      <c r="R60" s="196" t="s">
        <v>218</v>
      </c>
    </row>
    <row r="61" spans="2:18" ht="24.75" hidden="1" customHeight="1">
      <c r="B61" s="197">
        <v>7</v>
      </c>
      <c r="C61" s="197">
        <v>7</v>
      </c>
      <c r="D61" s="197">
        <v>7</v>
      </c>
      <c r="E61" s="197">
        <v>7</v>
      </c>
      <c r="F61" s="197">
        <v>7</v>
      </c>
      <c r="G61" s="197">
        <v>10</v>
      </c>
      <c r="H61" s="197">
        <v>10</v>
      </c>
      <c r="I61" s="197">
        <v>10</v>
      </c>
      <c r="J61" s="197">
        <v>7</v>
      </c>
      <c r="K61" s="197">
        <v>7</v>
      </c>
      <c r="L61" s="197">
        <v>7</v>
      </c>
      <c r="M61" s="197">
        <v>7</v>
      </c>
      <c r="N61" s="197">
        <v>7</v>
      </c>
      <c r="O61" s="197">
        <v>7</v>
      </c>
      <c r="P61" s="197">
        <v>7</v>
      </c>
      <c r="Q61" s="197">
        <v>7</v>
      </c>
      <c r="R61" s="197">
        <v>7</v>
      </c>
    </row>
    <row r="62" spans="2:18" ht="17.25" customHeight="1">
      <c r="K62" s="204" t="s">
        <v>360</v>
      </c>
    </row>
    <row r="63" spans="2:18" ht="18.75" customHeight="1">
      <c r="K63" s="204" t="s">
        <v>361</v>
      </c>
    </row>
  </sheetData>
  <sheetProtection algorithmName="SHA-512" hashValue="2KX9mTLlR4HsYLPcDvpQxL2QyerM7m+SlA9/+U+FP+SbEYaMzoluuurY2YebWgMEce75jCDUpswLIRzp+cTRWg==" saltValue="eLBSIZzEWrt8cNGgAj3Qiw==" spinCount="100000" sheet="1" objects="1" scenarios="1" selectLockedCells="1"/>
  <mergeCells count="30">
    <mergeCell ref="C9:F9"/>
    <mergeCell ref="B2:B4"/>
    <mergeCell ref="C2:K2"/>
    <mergeCell ref="C3:K3"/>
    <mergeCell ref="C4:K4"/>
    <mergeCell ref="B6:K6"/>
    <mergeCell ref="W31:AB31"/>
    <mergeCell ref="B12:L13"/>
    <mergeCell ref="W14:AB14"/>
    <mergeCell ref="B15:C15"/>
    <mergeCell ref="E15:F15"/>
    <mergeCell ref="G15:I15"/>
    <mergeCell ref="G16:G18"/>
    <mergeCell ref="B17:C18"/>
    <mergeCell ref="E20:F20"/>
    <mergeCell ref="G20:G22"/>
    <mergeCell ref="H20:N20"/>
    <mergeCell ref="C26:F26"/>
    <mergeCell ref="B29:L30"/>
    <mergeCell ref="B47:I47"/>
    <mergeCell ref="B52:H52"/>
    <mergeCell ref="B54:J54"/>
    <mergeCell ref="B32:C32"/>
    <mergeCell ref="E32:F32"/>
    <mergeCell ref="G32:I32"/>
    <mergeCell ref="G33:G35"/>
    <mergeCell ref="B34:C35"/>
    <mergeCell ref="E37:F37"/>
    <mergeCell ref="G37:G39"/>
    <mergeCell ref="H37:N37"/>
  </mergeCells>
  <conditionalFormatting sqref="C23">
    <cfRule type="expression" dxfId="9" priority="10">
      <formula>#REF!="errore o dati mancanti"</formula>
    </cfRule>
  </conditionalFormatting>
  <conditionalFormatting sqref="C40">
    <cfRule type="expression" dxfId="8" priority="5">
      <formula>#REF!="errore o dati mancanti"</formula>
    </cfRule>
  </conditionalFormatting>
  <conditionalFormatting sqref="F17">
    <cfRule type="expression" dxfId="7" priority="8">
      <formula>#REF!&lt;&gt;"errore o dati mancanti"</formula>
    </cfRule>
    <cfRule type="expression" dxfId="6" priority="9">
      <formula>#REF!="errore o dati mancanti"</formula>
    </cfRule>
  </conditionalFormatting>
  <conditionalFormatting sqref="F23">
    <cfRule type="expression" dxfId="5" priority="6">
      <formula>#REF!&lt;&gt;"errore o dati mancanti"</formula>
    </cfRule>
    <cfRule type="expression" dxfId="4" priority="7">
      <formula>#REF!="errore o dati mancanti"</formula>
    </cfRule>
  </conditionalFormatting>
  <conditionalFormatting sqref="F34">
    <cfRule type="expression" dxfId="3" priority="3">
      <formula>#REF!&lt;&gt;"errore o dati mancanti"</formula>
    </cfRule>
    <cfRule type="expression" dxfId="2" priority="4">
      <formula>#REF!="errore o dati mancanti"</formula>
    </cfRule>
  </conditionalFormatting>
  <conditionalFormatting sqref="F40">
    <cfRule type="expression" dxfId="1" priority="1">
      <formula>#REF!&lt;&gt;"errore o dati mancanti"</formula>
    </cfRule>
    <cfRule type="expression" dxfId="0" priority="2">
      <formula>#REF!="errore o dati mancanti"</formula>
    </cfRule>
  </conditionalFormatting>
  <dataValidations disablePrompts="1" count="5">
    <dataValidation type="list" allowBlank="1" showInputMessage="1" showErrorMessage="1" sqref="F39">
      <formula1>$I$38:$N$38</formula1>
    </dataValidation>
    <dataValidation type="list" allowBlank="1" showInputMessage="1" showErrorMessage="1" sqref="F22">
      <formula1>$I$21:$N$21</formula1>
    </dataValidation>
    <dataValidation type="list" allowBlank="1" showInputMessage="1" showErrorMessage="1" sqref="F21 F38">
      <formula1>$H$21:$N$21</formula1>
    </dataValidation>
    <dataValidation type="list" allowBlank="1" showInputMessage="1" showErrorMessage="1" sqref="K52">
      <formula1>$B$60:$R$60</formula1>
    </dataValidation>
    <dataValidation type="list" allowBlank="1" showInputMessage="1" showErrorMessage="1" sqref="F16 F33">
      <formula1>$H$33:$H$35</formula1>
    </dataValidation>
  </dataValidations>
  <hyperlinks>
    <hyperlink ref="C9" r:id="rId1"/>
    <hyperlink ref="C26" r:id="rId2"/>
    <hyperlink ref="Z17" r:id="rId3"/>
    <hyperlink ref="Z16" r:id="rId4" display="https://statistica.regione.emilia-romagna.it/turismo/dati-preliminari"/>
    <hyperlink ref="Z34" r:id="rId5"/>
    <hyperlink ref="Z33" r:id="rId6" display="https://statistica.regione.emilia-romagna.it/turismo/dati-preliminari"/>
  </hyperlinks>
  <pageMargins left="0.7" right="0.7" top="0.75" bottom="0.75" header="0.3" footer="0.3"/>
  <pageSetup paperSize="8" scale="65" orientation="portrait" horizontalDpi="1200" verticalDpi="1200" r:id="rId7"/>
  <drawing r:id="rId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"/>
  <sheetViews>
    <sheetView showGridLines="0" zoomScale="150" zoomScaleNormal="150" workbookViewId="0">
      <selection activeCell="A1001" sqref="A1001"/>
    </sheetView>
  </sheetViews>
  <sheetFormatPr defaultColWidth="8.85546875" defaultRowHeight="15"/>
  <sheetData>
    <row r="2" spans="2:2">
      <c r="B2" s="480" t="s">
        <v>447</v>
      </c>
    </row>
  </sheetData>
  <sheetProtection algorithmName="SHA-512" hashValue="4zUuBxlVi0qYO0oEbRCxuwgXL23hggrGxJEeUCya2jF/75wjTfCvC/VMevbUKR5s4z+btHRUrjVNCqmL/mTnUA==" saltValue="S+4fTMIHdPLvFkpJB6w4Iw==" spinCount="100000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G7" sqref="G7"/>
    </sheetView>
  </sheetViews>
  <sheetFormatPr defaultColWidth="0" defaultRowHeight="15" zeroHeight="1"/>
  <cols>
    <col min="1" max="1" width="2.5703125" style="563" customWidth="1"/>
    <col min="2" max="2" width="36" style="563" customWidth="1"/>
    <col min="3" max="3" width="26.5703125" style="563" customWidth="1"/>
    <col min="4" max="4" width="2.5703125" style="563" customWidth="1"/>
    <col min="5" max="5" width="26.5703125" style="563" customWidth="1"/>
    <col min="6" max="6" width="2.5703125" style="563" customWidth="1"/>
    <col min="7" max="7" width="28.42578125" style="563" customWidth="1"/>
    <col min="8" max="8" width="217.5703125" style="563" bestFit="1" customWidth="1"/>
    <col min="9" max="11" width="8.85546875" style="563" customWidth="1"/>
    <col min="12" max="16384" width="8.85546875" style="563" hidden="1"/>
  </cols>
  <sheetData>
    <row r="1" spans="1:8">
      <c r="A1" s="560"/>
      <c r="B1" s="561" t="s">
        <v>589</v>
      </c>
      <c r="C1" s="561" t="s">
        <v>595</v>
      </c>
      <c r="D1" s="562"/>
      <c r="E1" s="561" t="s">
        <v>596</v>
      </c>
      <c r="F1" s="562"/>
      <c r="G1" s="561" t="s">
        <v>597</v>
      </c>
      <c r="H1" s="561" t="s">
        <v>598</v>
      </c>
    </row>
    <row r="2" spans="1:8">
      <c r="A2" s="560"/>
      <c r="B2" s="564" t="s">
        <v>603</v>
      </c>
      <c r="C2" s="574"/>
      <c r="D2" s="566"/>
      <c r="E2" s="565"/>
      <c r="F2" s="566"/>
      <c r="G2" s="565"/>
      <c r="H2" s="575"/>
    </row>
    <row r="3" spans="1:8">
      <c r="A3" s="560"/>
      <c r="B3" s="564" t="s">
        <v>604</v>
      </c>
      <c r="C3" s="574"/>
      <c r="D3" s="566"/>
      <c r="E3" s="565"/>
      <c r="F3" s="566"/>
      <c r="G3" s="565"/>
      <c r="H3" s="575"/>
    </row>
    <row r="4" spans="1:8">
      <c r="A4" s="560"/>
      <c r="B4" s="564" t="s">
        <v>605</v>
      </c>
      <c r="C4" s="574"/>
      <c r="D4" s="566"/>
      <c r="E4" s="565"/>
      <c r="F4" s="566"/>
      <c r="G4" s="565"/>
      <c r="H4" s="575"/>
    </row>
    <row r="5" spans="1:8">
      <c r="A5" s="560"/>
      <c r="B5" s="564" t="s">
        <v>384</v>
      </c>
      <c r="C5" s="574"/>
      <c r="D5" s="566"/>
      <c r="E5" s="565"/>
      <c r="F5" s="566"/>
      <c r="G5" s="565"/>
      <c r="H5" s="575"/>
    </row>
    <row r="6" spans="1:8">
      <c r="A6" s="560"/>
      <c r="B6" s="564" t="s">
        <v>385</v>
      </c>
      <c r="C6" s="574"/>
      <c r="D6" s="566"/>
      <c r="E6" s="565"/>
      <c r="F6" s="566"/>
      <c r="G6" s="565"/>
      <c r="H6" s="575"/>
    </row>
    <row r="7" spans="1:8">
      <c r="A7" s="560"/>
      <c r="B7" s="564" t="s">
        <v>390</v>
      </c>
      <c r="C7" s="574"/>
      <c r="D7" s="566"/>
      <c r="E7" s="565">
        <f>Allegato_1Cs!V191</f>
        <v>0</v>
      </c>
      <c r="F7" s="566"/>
      <c r="G7" s="565" t="str">
        <f>IF(C7="","",E7-C7)</f>
        <v/>
      </c>
      <c r="H7" s="575"/>
    </row>
    <row r="8" spans="1:8" ht="75">
      <c r="A8" s="560"/>
      <c r="B8" s="564" t="s">
        <v>593</v>
      </c>
      <c r="C8" s="574"/>
      <c r="D8" s="566"/>
      <c r="E8" s="565">
        <f>Allegato_1Cs!AB205</f>
        <v>0</v>
      </c>
      <c r="F8" s="566"/>
      <c r="G8" s="565" t="str">
        <f>IF(C8="","",E8-C8)</f>
        <v/>
      </c>
      <c r="H8" s="575" t="str">
        <f>(Allegato_1Cs!AP122)&amp;" - "&amp;C8</f>
        <v xml:space="preserve"> [MSP1=] [mq]0 x  [€/mq] 200 = 0
 [MSP2=] [mq]0 x  [€/mq] 200 = 0
 [MPP1=] [mq] [x]  [€/mq] 145,69 = 0 €
 [MPP2=] [mq] [x]  [€/mq] 145,69 = 0 €
 [MVS=] [mq]0 x [€/mq] 200 = 0 € - </v>
      </c>
    </row>
    <row r="9" spans="1:8">
      <c r="A9" s="560"/>
      <c r="B9" s="564" t="s">
        <v>594</v>
      </c>
      <c r="C9" s="574"/>
      <c r="D9" s="566"/>
      <c r="E9" s="565">
        <f>Allegato_1Cs!AB207</f>
        <v>0</v>
      </c>
      <c r="F9" s="566"/>
      <c r="G9" s="565" t="str">
        <f>IF(C9="","",E9-C9)</f>
        <v/>
      </c>
      <c r="H9" s="575"/>
    </row>
    <row r="10" spans="1:8" ht="60">
      <c r="A10" s="560"/>
      <c r="B10" s="564" t="s">
        <v>600</v>
      </c>
      <c r="C10" s="574"/>
      <c r="D10" s="566"/>
      <c r="E10" s="565">
        <f>Allegato_1Cs!AB200</f>
        <v>0</v>
      </c>
      <c r="F10" s="566"/>
      <c r="G10" s="565" t="str">
        <f>IF(C10="","",E10-C10)</f>
        <v/>
      </c>
      <c r="H10" s="575" t="str">
        <f>(Allegato_1Cs!AP192)&amp;" - "&amp;C10</f>
        <v xml:space="preserve"> [Oblazione = Cdc x 2] 0
 [Oblazione = Cdc x 1] 0
 [Oblazione = Cdc x 2 + maggiorazione 20%] 0
 [Oblazione = Cdc x 1 + maggiorazione 20%] 0 - </v>
      </c>
    </row>
    <row r="11" spans="1:8">
      <c r="A11" s="560"/>
      <c r="B11" s="564"/>
      <c r="C11" s="574"/>
      <c r="D11" s="566"/>
      <c r="E11" s="565"/>
      <c r="F11" s="566"/>
      <c r="G11" s="565"/>
      <c r="H11" s="575"/>
    </row>
    <row r="12" spans="1:8">
      <c r="A12" s="560"/>
      <c r="B12" s="564"/>
      <c r="C12" s="574"/>
      <c r="D12" s="566"/>
      <c r="E12" s="565"/>
      <c r="F12" s="566"/>
      <c r="G12" s="565"/>
      <c r="H12" s="575"/>
    </row>
    <row r="13" spans="1:8">
      <c r="A13" s="560"/>
      <c r="B13" s="564"/>
      <c r="C13" s="574"/>
      <c r="D13" s="566"/>
      <c r="E13" s="565"/>
      <c r="F13" s="566"/>
      <c r="G13" s="565"/>
      <c r="H13" s="575"/>
    </row>
    <row r="14" spans="1:8">
      <c r="A14" s="560"/>
      <c r="B14" s="564"/>
      <c r="C14" s="574"/>
      <c r="D14" s="566"/>
      <c r="E14" s="565"/>
      <c r="F14" s="566"/>
      <c r="G14" s="565"/>
      <c r="H14" s="564"/>
    </row>
    <row r="15" spans="1:8">
      <c r="A15" s="560"/>
      <c r="B15" s="564"/>
      <c r="C15" s="574"/>
      <c r="D15" s="566"/>
      <c r="E15" s="565"/>
      <c r="F15" s="566"/>
      <c r="G15" s="565"/>
      <c r="H15" s="564"/>
    </row>
    <row r="16" spans="1:8">
      <c r="A16" s="560"/>
      <c r="B16" s="564"/>
      <c r="C16" s="574"/>
      <c r="D16" s="566"/>
      <c r="E16" s="565"/>
      <c r="F16" s="566"/>
      <c r="G16" s="565"/>
      <c r="H16" s="564"/>
    </row>
    <row r="17" spans="1:8">
      <c r="A17" s="560"/>
      <c r="B17" s="564"/>
      <c r="C17" s="574"/>
      <c r="D17" s="566"/>
      <c r="E17" s="565"/>
      <c r="F17" s="566"/>
      <c r="G17" s="565"/>
      <c r="H17" s="564"/>
    </row>
    <row r="18" spans="1:8">
      <c r="A18" s="560"/>
      <c r="B18" s="564"/>
      <c r="C18" s="574"/>
      <c r="D18" s="566"/>
      <c r="E18" s="565"/>
      <c r="F18" s="566"/>
      <c r="G18" s="565"/>
      <c r="H18" s="564"/>
    </row>
    <row r="19" spans="1:8">
      <c r="A19" s="560"/>
      <c r="B19" s="564"/>
      <c r="C19" s="574"/>
      <c r="D19" s="566"/>
      <c r="E19" s="565"/>
      <c r="F19" s="566"/>
      <c r="G19" s="565"/>
      <c r="H19" s="564"/>
    </row>
    <row r="20" spans="1:8" ht="15.75" thickBot="1">
      <c r="A20" s="560"/>
      <c r="B20" s="567"/>
      <c r="C20" s="576"/>
      <c r="D20" s="566"/>
      <c r="E20" s="568"/>
      <c r="F20" s="566"/>
      <c r="G20" s="568"/>
      <c r="H20" s="567"/>
    </row>
    <row r="21" spans="1:8">
      <c r="B21" s="569"/>
      <c r="C21" s="569"/>
      <c r="E21" s="569"/>
      <c r="G21" s="569"/>
    </row>
    <row r="22" spans="1:8" ht="45">
      <c r="C22" s="570" t="s">
        <v>599</v>
      </c>
    </row>
    <row r="23" spans="1:8"/>
    <row r="24" spans="1:8"/>
    <row r="25" spans="1:8"/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</sheetData>
  <conditionalFormatting sqref="B2:B20">
    <cfRule type="expression" dxfId="41" priority="1">
      <formula>SUM($G$2:$G$20)&gt;0</formula>
    </cfRule>
  </conditionalFormatting>
  <conditionalFormatting sqref="G2:G20">
    <cfRule type="expression" dxfId="40" priority="2">
      <formula>SUM($G$2:$G$20)&gt;0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tabSelected="1" workbookViewId="0">
      <selection activeCell="D29" sqref="D29"/>
    </sheetView>
  </sheetViews>
  <sheetFormatPr defaultRowHeight="15"/>
  <cols>
    <col min="2" max="2" width="8.7109375" style="578"/>
  </cols>
  <sheetData>
    <row r="2" spans="2:3">
      <c r="C2" s="579" t="s">
        <v>613</v>
      </c>
    </row>
    <row r="4" spans="2:3">
      <c r="B4" s="578">
        <v>1</v>
      </c>
      <c r="C4" t="s">
        <v>614</v>
      </c>
    </row>
    <row r="5" spans="2:3">
      <c r="C5" t="s">
        <v>615</v>
      </c>
    </row>
    <row r="7" spans="2:3">
      <c r="B7" s="578">
        <v>2</v>
      </c>
      <c r="C7" s="579" t="s">
        <v>616</v>
      </c>
    </row>
    <row r="9" spans="2:3">
      <c r="B9" s="578">
        <v>3</v>
      </c>
      <c r="C9" t="s">
        <v>617</v>
      </c>
    </row>
    <row r="10" spans="2:3">
      <c r="C10" t="s">
        <v>618</v>
      </c>
    </row>
    <row r="12" spans="2:3">
      <c r="B12" s="578">
        <v>4</v>
      </c>
      <c r="C12" t="s">
        <v>619</v>
      </c>
    </row>
    <row r="13" spans="2:3">
      <c r="C13" t="s">
        <v>620</v>
      </c>
    </row>
    <row r="14" spans="2:3">
      <c r="C14" t="s">
        <v>621</v>
      </c>
    </row>
    <row r="15" spans="2:3">
      <c r="C15" t="s">
        <v>622</v>
      </c>
    </row>
    <row r="16" spans="2:3">
      <c r="C16" s="579" t="s">
        <v>627</v>
      </c>
    </row>
    <row r="18" spans="2:3">
      <c r="B18" s="578">
        <v>5</v>
      </c>
      <c r="C18" t="s">
        <v>623</v>
      </c>
    </row>
    <row r="19" spans="2:3">
      <c r="C19" t="s">
        <v>624</v>
      </c>
    </row>
    <row r="20" spans="2:3">
      <c r="C20" t="s">
        <v>625</v>
      </c>
    </row>
    <row r="21" spans="2:3">
      <c r="C21" t="s">
        <v>626</v>
      </c>
    </row>
    <row r="22" spans="2:3">
      <c r="C22" t="s">
        <v>628</v>
      </c>
    </row>
    <row r="23" spans="2:3">
      <c r="C23" s="579" t="s">
        <v>629</v>
      </c>
    </row>
  </sheetData>
  <sheetProtection algorithmName="SHA-512" hashValue="OgNM3uB+08OP2YdZgRflVAql3+A1YeEZnex+QzU/iR7o1o2ckN3D1fOyVIDl4OaVeXKtFkeR1GvXs3DiF+wqnA==" saltValue="grWIdasc0neZhCksQ3UErQ==" spinCount="100000" sheet="1" objects="1" scenarios="1" selectLockedCells="1" selectUnlockedCells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B2:V87"/>
  <sheetViews>
    <sheetView showGridLines="0" zoomScaleNormal="100" workbookViewId="0">
      <selection activeCell="G56" sqref="G56"/>
    </sheetView>
  </sheetViews>
  <sheetFormatPr defaultColWidth="9.140625" defaultRowHeight="15"/>
  <cols>
    <col min="1" max="1" width="3.5703125" style="206" customWidth="1"/>
    <col min="2" max="2" width="23" style="206" customWidth="1"/>
    <col min="3" max="3" width="15.5703125" style="206" customWidth="1"/>
    <col min="4" max="4" width="20.42578125" style="206" customWidth="1"/>
    <col min="5" max="6" width="13.42578125" style="241" customWidth="1"/>
    <col min="7" max="12" width="13.42578125" style="206" customWidth="1"/>
    <col min="13" max="13" width="9.42578125" style="206" customWidth="1"/>
    <col min="14" max="14" width="13.42578125" style="206" customWidth="1"/>
    <col min="15" max="15" width="19.5703125" style="206" customWidth="1"/>
    <col min="16" max="18" width="13.42578125" style="206" customWidth="1"/>
    <col min="19" max="19" width="9.140625" style="206"/>
    <col min="21" max="22" width="25.42578125" style="206" hidden="1" customWidth="1"/>
    <col min="23" max="16384" width="9.140625" style="206"/>
  </cols>
  <sheetData>
    <row r="2" spans="2:22" ht="15.75" thickBot="1">
      <c r="N2" s="580" t="s">
        <v>506</v>
      </c>
      <c r="O2" s="581"/>
      <c r="P2" s="582" t="s">
        <v>507</v>
      </c>
      <c r="Q2" s="385" t="s">
        <v>414</v>
      </c>
      <c r="R2" s="385" t="s">
        <v>508</v>
      </c>
    </row>
    <row r="3" spans="2:22" ht="45.75" customHeight="1">
      <c r="B3" s="584" t="s">
        <v>529</v>
      </c>
      <c r="C3" s="585"/>
      <c r="D3" s="586"/>
      <c r="E3" s="590" t="s">
        <v>337</v>
      </c>
      <c r="F3" s="591"/>
      <c r="G3" s="590" t="s">
        <v>338</v>
      </c>
      <c r="H3" s="591"/>
      <c r="I3" s="590" t="s">
        <v>339</v>
      </c>
      <c r="J3" s="591"/>
      <c r="N3" s="581"/>
      <c r="O3" s="581"/>
      <c r="P3" s="583"/>
      <c r="Q3" s="385">
        <v>4.7699999999999996</v>
      </c>
      <c r="R3" s="385">
        <v>3.57</v>
      </c>
      <c r="U3" s="270" t="s">
        <v>0</v>
      </c>
      <c r="V3" s="270" t="s">
        <v>6</v>
      </c>
    </row>
    <row r="4" spans="2:22" ht="20.100000000000001" customHeight="1" thickBot="1">
      <c r="B4" s="587"/>
      <c r="C4" s="588"/>
      <c r="D4" s="589"/>
      <c r="E4" s="372" t="s">
        <v>0</v>
      </c>
      <c r="F4" s="373" t="s">
        <v>6</v>
      </c>
      <c r="G4" s="372" t="s">
        <v>0</v>
      </c>
      <c r="H4" s="373" t="s">
        <v>6</v>
      </c>
      <c r="I4" s="372" t="s">
        <v>0</v>
      </c>
      <c r="J4" s="373" t="s">
        <v>6</v>
      </c>
      <c r="U4" s="270"/>
      <c r="V4" s="270"/>
    </row>
    <row r="5" spans="2:22" ht="20.100000000000001" customHeight="1">
      <c r="B5" s="592" t="s">
        <v>340</v>
      </c>
      <c r="C5" s="595" t="s">
        <v>341</v>
      </c>
      <c r="D5" s="381" t="s">
        <v>342</v>
      </c>
      <c r="E5" s="426">
        <v>101.27</v>
      </c>
      <c r="F5" s="427">
        <v>131.05000000000001</v>
      </c>
      <c r="G5" s="426">
        <v>70.89</v>
      </c>
      <c r="H5" s="427">
        <v>91.74</v>
      </c>
      <c r="I5" s="426">
        <v>10.130000000000001</v>
      </c>
      <c r="J5" s="427">
        <v>13.11</v>
      </c>
      <c r="K5" s="598" t="s">
        <v>505</v>
      </c>
      <c r="L5" s="599"/>
      <c r="N5" s="604" t="s">
        <v>509</v>
      </c>
      <c r="O5" s="605"/>
      <c r="P5" s="610" t="s">
        <v>407</v>
      </c>
      <c r="Q5" s="611"/>
      <c r="R5" s="611"/>
      <c r="S5" s="612"/>
      <c r="U5" s="343" t="s">
        <v>406</v>
      </c>
      <c r="V5" s="343" t="s">
        <v>406</v>
      </c>
    </row>
    <row r="6" spans="2:22" ht="20.100000000000001" customHeight="1">
      <c r="B6" s="593"/>
      <c r="C6" s="596"/>
      <c r="D6" s="375" t="s">
        <v>343</v>
      </c>
      <c r="E6" s="376">
        <v>101.27</v>
      </c>
      <c r="F6" s="377">
        <v>131.05000000000001</v>
      </c>
      <c r="G6" s="376">
        <v>70.89</v>
      </c>
      <c r="H6" s="377">
        <v>91.74</v>
      </c>
      <c r="I6" s="376">
        <v>10.130000000000001</v>
      </c>
      <c r="J6" s="377">
        <v>13.11</v>
      </c>
      <c r="K6" s="600"/>
      <c r="L6" s="601"/>
      <c r="N6" s="606"/>
      <c r="O6" s="607"/>
      <c r="P6" s="613" t="s">
        <v>368</v>
      </c>
      <c r="Q6" s="614"/>
      <c r="R6" s="614"/>
      <c r="S6" s="615"/>
      <c r="U6" s="428">
        <f>E5</f>
        <v>101.27</v>
      </c>
      <c r="V6" s="428">
        <f>F5</f>
        <v>131.05000000000001</v>
      </c>
    </row>
    <row r="7" spans="2:22" ht="20.100000000000001" customHeight="1" thickBot="1">
      <c r="B7" s="594"/>
      <c r="C7" s="597"/>
      <c r="D7" s="382" t="s">
        <v>344</v>
      </c>
      <c r="E7" s="429">
        <v>55.7</v>
      </c>
      <c r="F7" s="430">
        <v>72.08</v>
      </c>
      <c r="G7" s="429">
        <v>45.57</v>
      </c>
      <c r="H7" s="430">
        <v>58.97</v>
      </c>
      <c r="I7" s="429">
        <v>10.130000000000001</v>
      </c>
      <c r="J7" s="430">
        <v>13.11</v>
      </c>
      <c r="K7" s="602"/>
      <c r="L7" s="603"/>
      <c r="N7" s="606"/>
      <c r="O7" s="607"/>
      <c r="P7" s="616" t="s">
        <v>351</v>
      </c>
      <c r="Q7" s="617"/>
      <c r="R7" s="616" t="s">
        <v>352</v>
      </c>
      <c r="S7" s="617"/>
      <c r="U7" s="428">
        <f>E7</f>
        <v>55.7</v>
      </c>
      <c r="V7" s="428">
        <f>F7</f>
        <v>72.08</v>
      </c>
    </row>
    <row r="8" spans="2:22" ht="20.100000000000001" customHeight="1">
      <c r="B8" s="592" t="s">
        <v>531</v>
      </c>
      <c r="C8" s="595" t="s">
        <v>528</v>
      </c>
      <c r="D8" s="383" t="s">
        <v>342</v>
      </c>
      <c r="E8" s="426">
        <v>101.27</v>
      </c>
      <c r="F8" s="427">
        <v>131.05000000000001</v>
      </c>
      <c r="G8" s="426">
        <v>101.27</v>
      </c>
      <c r="H8" s="427">
        <v>131.05000000000001</v>
      </c>
      <c r="I8" s="426">
        <v>30.38</v>
      </c>
      <c r="J8" s="427">
        <v>39.32</v>
      </c>
      <c r="K8" s="431">
        <v>20.25</v>
      </c>
      <c r="L8" s="432">
        <v>26.21</v>
      </c>
      <c r="N8" s="608"/>
      <c r="O8" s="609"/>
      <c r="P8" s="385" t="s">
        <v>353</v>
      </c>
      <c r="Q8" s="385" t="s">
        <v>356</v>
      </c>
      <c r="R8" s="385" t="s">
        <v>353</v>
      </c>
      <c r="S8" s="385" t="s">
        <v>356</v>
      </c>
      <c r="U8" s="428">
        <f>E10</f>
        <v>60.76</v>
      </c>
      <c r="V8" s="428">
        <f>F10</f>
        <v>78.63</v>
      </c>
    </row>
    <row r="9" spans="2:22" ht="20.100000000000001" customHeight="1">
      <c r="B9" s="593"/>
      <c r="C9" s="596"/>
      <c r="D9" s="378" t="s">
        <v>343</v>
      </c>
      <c r="E9" s="376">
        <v>101.27</v>
      </c>
      <c r="F9" s="377">
        <v>131.05000000000001</v>
      </c>
      <c r="G9" s="376">
        <v>101.27</v>
      </c>
      <c r="H9" s="377">
        <v>131.05000000000001</v>
      </c>
      <c r="I9" s="376">
        <v>30.38</v>
      </c>
      <c r="J9" s="377">
        <v>39.32</v>
      </c>
      <c r="K9" s="376">
        <v>20.25</v>
      </c>
      <c r="L9" s="377">
        <v>26.21</v>
      </c>
      <c r="N9" s="618" t="s">
        <v>354</v>
      </c>
      <c r="O9" s="619"/>
      <c r="P9" s="521">
        <f>E5*0.02</f>
        <v>2.0253999999999999</v>
      </c>
      <c r="Q9" s="521">
        <f>F5*0.02</f>
        <v>2.6210000000000004</v>
      </c>
      <c r="R9" s="521">
        <f>E7*0.02</f>
        <v>1.1140000000000001</v>
      </c>
      <c r="S9" s="521">
        <f>F7*0.02</f>
        <v>1.4416</v>
      </c>
      <c r="U9" s="428">
        <f>E11</f>
        <v>24.3</v>
      </c>
      <c r="V9" s="428">
        <f>F11</f>
        <v>7.09</v>
      </c>
    </row>
    <row r="10" spans="2:22" ht="20.100000000000001" customHeight="1" thickBot="1">
      <c r="B10" s="594"/>
      <c r="C10" s="597"/>
      <c r="D10" s="384" t="s">
        <v>344</v>
      </c>
      <c r="E10" s="429">
        <v>60.76</v>
      </c>
      <c r="F10" s="430">
        <v>78.63</v>
      </c>
      <c r="G10" s="429">
        <v>50.63</v>
      </c>
      <c r="H10" s="430">
        <v>65.53</v>
      </c>
      <c r="I10" s="429">
        <v>30.38</v>
      </c>
      <c r="J10" s="430">
        <v>39.32</v>
      </c>
      <c r="K10" s="429">
        <v>20.25</v>
      </c>
      <c r="L10" s="430">
        <v>26.21</v>
      </c>
      <c r="N10" s="618" t="s">
        <v>355</v>
      </c>
      <c r="O10" s="619"/>
      <c r="P10" s="521">
        <f>E8*0.02</f>
        <v>2.0253999999999999</v>
      </c>
      <c r="Q10" s="521">
        <f>F8*0.02</f>
        <v>2.6210000000000004</v>
      </c>
      <c r="R10" s="521">
        <f>E10*0.02</f>
        <v>1.2152000000000001</v>
      </c>
      <c r="S10" s="521">
        <f>F10*0.02</f>
        <v>1.5726</v>
      </c>
      <c r="U10" s="428">
        <f>E13</f>
        <v>14.58</v>
      </c>
      <c r="V10" s="428">
        <f>F13</f>
        <v>4.25</v>
      </c>
    </row>
    <row r="11" spans="2:22" ht="20.100000000000001" customHeight="1">
      <c r="B11" s="592" t="s">
        <v>345</v>
      </c>
      <c r="C11" s="595" t="s">
        <v>346</v>
      </c>
      <c r="D11" s="383" t="s">
        <v>342</v>
      </c>
      <c r="E11" s="426">
        <v>24.3</v>
      </c>
      <c r="F11" s="427">
        <v>7.09</v>
      </c>
      <c r="G11" s="426">
        <v>24.3</v>
      </c>
      <c r="H11" s="427">
        <v>7.09</v>
      </c>
      <c r="I11" s="426">
        <v>7.29</v>
      </c>
      <c r="J11" s="427">
        <v>2.13</v>
      </c>
      <c r="M11" s="386"/>
      <c r="N11" s="618" t="s">
        <v>409</v>
      </c>
      <c r="O11" s="619"/>
      <c r="P11" s="521">
        <f>E11*0.02</f>
        <v>0.48600000000000004</v>
      </c>
      <c r="Q11" s="521">
        <f>F11*0.02</f>
        <v>0.14180000000000001</v>
      </c>
      <c r="R11" s="521">
        <f>E13*0.02</f>
        <v>0.29160000000000003</v>
      </c>
      <c r="S11" s="521">
        <f>F13*0.02</f>
        <v>8.5000000000000006E-2</v>
      </c>
      <c r="U11" s="433" t="s">
        <v>408</v>
      </c>
      <c r="V11" s="433" t="s">
        <v>408</v>
      </c>
    </row>
    <row r="12" spans="2:22" ht="20.100000000000001" customHeight="1">
      <c r="B12" s="593"/>
      <c r="C12" s="596"/>
      <c r="D12" s="378" t="s">
        <v>343</v>
      </c>
      <c r="E12" s="376">
        <v>24.3</v>
      </c>
      <c r="F12" s="377">
        <v>7.09</v>
      </c>
      <c r="G12" s="376">
        <v>24.3</v>
      </c>
      <c r="H12" s="377">
        <v>7.09</v>
      </c>
      <c r="I12" s="376">
        <v>7.29</v>
      </c>
      <c r="J12" s="377">
        <v>2.13</v>
      </c>
      <c r="M12" s="386"/>
      <c r="U12" s="428">
        <f>G5</f>
        <v>70.89</v>
      </c>
      <c r="V12" s="428">
        <f>H5</f>
        <v>91.74</v>
      </c>
    </row>
    <row r="13" spans="2:22" ht="20.100000000000001" customHeight="1" thickBot="1">
      <c r="B13" s="594"/>
      <c r="C13" s="597"/>
      <c r="D13" s="384" t="s">
        <v>344</v>
      </c>
      <c r="E13" s="429">
        <v>14.58</v>
      </c>
      <c r="F13" s="430">
        <v>4.25</v>
      </c>
      <c r="G13" s="429">
        <v>12.15</v>
      </c>
      <c r="H13" s="430">
        <v>3.54</v>
      </c>
      <c r="I13" s="429">
        <v>7.29</v>
      </c>
      <c r="J13" s="430">
        <v>2.13</v>
      </c>
      <c r="M13" s="386"/>
      <c r="U13" s="428">
        <f>G7</f>
        <v>45.57</v>
      </c>
      <c r="V13" s="428">
        <f>H7</f>
        <v>58.97</v>
      </c>
    </row>
    <row r="14" spans="2:22" ht="20.100000000000001" customHeight="1">
      <c r="B14" s="379"/>
      <c r="C14" s="380"/>
      <c r="E14" s="374"/>
      <c r="F14" s="374"/>
      <c r="G14" s="374"/>
      <c r="H14" s="374"/>
      <c r="I14" s="374"/>
      <c r="J14" s="374"/>
      <c r="N14" s="604" t="s">
        <v>510</v>
      </c>
      <c r="O14" s="605"/>
      <c r="P14" s="610" t="s">
        <v>367</v>
      </c>
      <c r="Q14" s="611"/>
      <c r="R14" s="611"/>
      <c r="S14" s="612"/>
      <c r="U14" s="428">
        <f>G8</f>
        <v>101.27</v>
      </c>
      <c r="V14" s="428">
        <f>H8</f>
        <v>131.05000000000001</v>
      </c>
    </row>
    <row r="15" spans="2:22" ht="20.100000000000001" customHeight="1" thickBot="1">
      <c r="B15" s="379"/>
      <c r="C15" s="380"/>
      <c r="E15" s="374"/>
      <c r="F15" s="374"/>
      <c r="G15" s="374"/>
      <c r="H15" s="374"/>
      <c r="I15" s="374"/>
      <c r="J15" s="374"/>
      <c r="N15" s="606"/>
      <c r="O15" s="607"/>
      <c r="P15" s="613" t="s">
        <v>368</v>
      </c>
      <c r="Q15" s="614"/>
      <c r="R15" s="614"/>
      <c r="S15" s="615"/>
      <c r="U15" s="428">
        <f>G10</f>
        <v>50.63</v>
      </c>
      <c r="V15" s="428">
        <f>H10</f>
        <v>65.53</v>
      </c>
    </row>
    <row r="16" spans="2:22" ht="20.100000000000001" customHeight="1">
      <c r="B16" s="379"/>
      <c r="C16" s="380"/>
      <c r="E16" s="629" t="s">
        <v>426</v>
      </c>
      <c r="F16" s="630"/>
      <c r="G16" s="630"/>
      <c r="H16" s="630"/>
      <c r="I16" s="630"/>
      <c r="J16" s="630"/>
      <c r="K16" s="630"/>
      <c r="L16" s="631"/>
      <c r="N16" s="606"/>
      <c r="O16" s="607"/>
      <c r="P16" s="616" t="s">
        <v>369</v>
      </c>
      <c r="Q16" s="617"/>
      <c r="R16" s="616" t="s">
        <v>370</v>
      </c>
      <c r="S16" s="617"/>
      <c r="U16" s="428">
        <f>G11</f>
        <v>24.3</v>
      </c>
      <c r="V16" s="428">
        <f>H11</f>
        <v>7.09</v>
      </c>
    </row>
    <row r="17" spans="2:22" ht="20.100000000000001" customHeight="1">
      <c r="E17" s="625" t="s">
        <v>344</v>
      </c>
      <c r="F17" s="626"/>
      <c r="G17" s="626"/>
      <c r="H17" s="626"/>
      <c r="I17" s="627" t="s">
        <v>342</v>
      </c>
      <c r="J17" s="626"/>
      <c r="K17" s="626"/>
      <c r="L17" s="628"/>
      <c r="N17" s="608"/>
      <c r="O17" s="609"/>
      <c r="P17" s="632" t="s">
        <v>511</v>
      </c>
      <c r="Q17" s="617"/>
      <c r="R17" s="632" t="s">
        <v>512</v>
      </c>
      <c r="S17" s="617"/>
      <c r="U17" s="428">
        <f>G13</f>
        <v>12.15</v>
      </c>
      <c r="V17" s="428">
        <f>H13</f>
        <v>3.54</v>
      </c>
    </row>
    <row r="18" spans="2:22" ht="39.950000000000003" customHeight="1">
      <c r="E18" s="434" t="s">
        <v>347</v>
      </c>
      <c r="F18" s="435" t="s">
        <v>348</v>
      </c>
      <c r="G18" s="435" t="s">
        <v>349</v>
      </c>
      <c r="H18" s="435" t="s">
        <v>350</v>
      </c>
      <c r="I18" s="436" t="s">
        <v>347</v>
      </c>
      <c r="J18" s="435" t="s">
        <v>348</v>
      </c>
      <c r="K18" s="435" t="s">
        <v>349</v>
      </c>
      <c r="L18" s="437" t="s">
        <v>350</v>
      </c>
      <c r="N18" s="618" t="s">
        <v>409</v>
      </c>
      <c r="O18" s="619"/>
      <c r="P18" s="620">
        <f>Q3*0.02</f>
        <v>9.5399999999999999E-2</v>
      </c>
      <c r="Q18" s="621"/>
      <c r="R18" s="620">
        <f>R3*0.02</f>
        <v>7.1400000000000005E-2</v>
      </c>
      <c r="S18" s="621"/>
      <c r="U18" s="343" t="s">
        <v>410</v>
      </c>
      <c r="V18" s="343" t="s">
        <v>410</v>
      </c>
    </row>
    <row r="19" spans="2:22" ht="39.950000000000003" customHeight="1">
      <c r="E19" s="438" t="s">
        <v>348</v>
      </c>
      <c r="F19" s="439"/>
      <c r="G19" s="440">
        <f>E10-E7</f>
        <v>5.0599999999999952</v>
      </c>
      <c r="H19" s="439"/>
      <c r="I19" s="435" t="s">
        <v>348</v>
      </c>
      <c r="J19" s="439"/>
      <c r="K19" s="440">
        <f>E8-E5</f>
        <v>0</v>
      </c>
      <c r="L19" s="441"/>
      <c r="U19" s="428">
        <f>I5</f>
        <v>10.130000000000001</v>
      </c>
      <c r="V19" s="428">
        <f>J5</f>
        <v>13.11</v>
      </c>
    </row>
    <row r="20" spans="2:22" ht="39.950000000000003" customHeight="1">
      <c r="E20" s="438" t="s">
        <v>349</v>
      </c>
      <c r="F20" s="439"/>
      <c r="G20" s="439"/>
      <c r="H20" s="439"/>
      <c r="I20" s="435" t="s">
        <v>349</v>
      </c>
      <c r="J20" s="439"/>
      <c r="K20" s="439"/>
      <c r="L20" s="441"/>
      <c r="S20" s="374"/>
      <c r="U20" s="428">
        <f>I8</f>
        <v>30.38</v>
      </c>
      <c r="V20" s="428">
        <f>J8</f>
        <v>39.32</v>
      </c>
    </row>
    <row r="21" spans="2:22" ht="39.950000000000003" customHeight="1">
      <c r="C21" s="520" t="s">
        <v>502</v>
      </c>
      <c r="E21" s="438" t="s">
        <v>350</v>
      </c>
      <c r="F21" s="440">
        <f>E7-E13</f>
        <v>41.120000000000005</v>
      </c>
      <c r="G21" s="440">
        <f>E10-E13</f>
        <v>46.18</v>
      </c>
      <c r="H21" s="439"/>
      <c r="I21" s="435" t="s">
        <v>350</v>
      </c>
      <c r="J21" s="440">
        <f>E5-E11</f>
        <v>76.97</v>
      </c>
      <c r="K21" s="440">
        <f>E8-E11</f>
        <v>76.97</v>
      </c>
      <c r="L21" s="442"/>
      <c r="S21" s="374"/>
      <c r="U21" s="428">
        <f>I11</f>
        <v>7.29</v>
      </c>
      <c r="V21" s="428">
        <f>J11</f>
        <v>2.13</v>
      </c>
    </row>
    <row r="22" spans="2:22" ht="20.100000000000001" customHeight="1">
      <c r="C22" s="502" t="s">
        <v>484</v>
      </c>
      <c r="E22" s="443"/>
      <c r="F22" s="206"/>
      <c r="L22" s="444"/>
      <c r="N22" s="445"/>
      <c r="U22" s="343" t="s">
        <v>451</v>
      </c>
      <c r="V22" s="343" t="s">
        <v>451</v>
      </c>
    </row>
    <row r="23" spans="2:22" ht="20.100000000000001" customHeight="1">
      <c r="B23" s="379"/>
      <c r="C23" s="380"/>
      <c r="E23" s="622" t="s">
        <v>427</v>
      </c>
      <c r="F23" s="623"/>
      <c r="G23" s="623"/>
      <c r="H23" s="623"/>
      <c r="I23" s="623"/>
      <c r="J23" s="623"/>
      <c r="K23" s="623"/>
      <c r="L23" s="624"/>
      <c r="N23" s="445"/>
      <c r="U23" s="428">
        <f>K8</f>
        <v>20.25</v>
      </c>
      <c r="V23" s="428">
        <f>L8</f>
        <v>26.21</v>
      </c>
    </row>
    <row r="24" spans="2:22" ht="20.100000000000001" customHeight="1">
      <c r="E24" s="625" t="s">
        <v>344</v>
      </c>
      <c r="F24" s="626"/>
      <c r="G24" s="626"/>
      <c r="H24" s="626"/>
      <c r="I24" s="627" t="s">
        <v>342</v>
      </c>
      <c r="J24" s="626"/>
      <c r="K24" s="626"/>
      <c r="L24" s="628"/>
      <c r="S24" s="374"/>
      <c r="U24" s="343" t="s">
        <v>411</v>
      </c>
      <c r="V24" s="343" t="s">
        <v>411</v>
      </c>
    </row>
    <row r="25" spans="2:22" ht="39.950000000000003" customHeight="1">
      <c r="E25" s="434" t="s">
        <v>347</v>
      </c>
      <c r="F25" s="435" t="s">
        <v>348</v>
      </c>
      <c r="G25" s="435" t="s">
        <v>349</v>
      </c>
      <c r="H25" s="435" t="s">
        <v>350</v>
      </c>
      <c r="I25" s="436" t="s">
        <v>347</v>
      </c>
      <c r="J25" s="435" t="s">
        <v>348</v>
      </c>
      <c r="K25" s="435" t="s">
        <v>349</v>
      </c>
      <c r="L25" s="437" t="s">
        <v>350</v>
      </c>
      <c r="U25" s="428">
        <f>K19</f>
        <v>0</v>
      </c>
      <c r="V25" s="428">
        <f>K26</f>
        <v>0</v>
      </c>
    </row>
    <row r="26" spans="2:22" ht="39.950000000000003" customHeight="1">
      <c r="E26" s="438" t="s">
        <v>348</v>
      </c>
      <c r="F26" s="439"/>
      <c r="G26" s="440">
        <f>F10-F7</f>
        <v>6.5499999999999972</v>
      </c>
      <c r="H26" s="439"/>
      <c r="I26" s="435" t="s">
        <v>348</v>
      </c>
      <c r="J26" s="439"/>
      <c r="K26" s="440">
        <f>F8-F5</f>
        <v>0</v>
      </c>
      <c r="L26" s="441"/>
      <c r="U26" s="428">
        <f>G19</f>
        <v>5.0599999999999952</v>
      </c>
      <c r="V26" s="428">
        <f>G26</f>
        <v>6.5499999999999972</v>
      </c>
    </row>
    <row r="27" spans="2:22" ht="39.950000000000003" customHeight="1">
      <c r="E27" s="438" t="s">
        <v>349</v>
      </c>
      <c r="F27" s="439"/>
      <c r="G27" s="439"/>
      <c r="H27" s="439"/>
      <c r="I27" s="435" t="s">
        <v>349</v>
      </c>
      <c r="J27" s="439"/>
      <c r="K27" s="439"/>
      <c r="L27" s="441"/>
      <c r="U27" s="428">
        <f>F21</f>
        <v>41.120000000000005</v>
      </c>
      <c r="V27" s="428">
        <f>F28</f>
        <v>67.83</v>
      </c>
    </row>
    <row r="28" spans="2:22" ht="39.950000000000003" customHeight="1" thickBot="1">
      <c r="E28" s="446" t="s">
        <v>350</v>
      </c>
      <c r="F28" s="447">
        <f>F7-F13</f>
        <v>67.83</v>
      </c>
      <c r="G28" s="447">
        <f>F10-F13</f>
        <v>74.38</v>
      </c>
      <c r="H28" s="448"/>
      <c r="I28" s="449" t="s">
        <v>350</v>
      </c>
      <c r="J28" s="447">
        <f>F5-F11</f>
        <v>123.96000000000001</v>
      </c>
      <c r="K28" s="447">
        <f>F8-F11</f>
        <v>123.96000000000001</v>
      </c>
      <c r="L28" s="450"/>
      <c r="U28" s="428">
        <f>G21</f>
        <v>46.18</v>
      </c>
      <c r="V28" s="428">
        <f>G28</f>
        <v>74.38</v>
      </c>
    </row>
    <row r="29" spans="2:22" ht="20.100000000000001" customHeight="1" thickBot="1">
      <c r="E29" s="492"/>
      <c r="F29" s="492"/>
      <c r="G29" s="492"/>
      <c r="H29" s="492"/>
      <c r="I29" s="492"/>
      <c r="J29" s="492"/>
      <c r="K29" s="492"/>
      <c r="L29" s="492"/>
      <c r="U29" s="428">
        <f>J21</f>
        <v>76.97</v>
      </c>
      <c r="V29" s="428">
        <f>J28</f>
        <v>123.96000000000001</v>
      </c>
    </row>
    <row r="30" spans="2:22" ht="20.100000000000001" customHeight="1" thickBot="1">
      <c r="U30" s="343" t="s">
        <v>412</v>
      </c>
      <c r="V30" s="343" t="s">
        <v>412</v>
      </c>
    </row>
    <row r="31" spans="2:22" ht="20.100000000000001" customHeight="1">
      <c r="E31" s="629" t="s">
        <v>518</v>
      </c>
      <c r="F31" s="630"/>
      <c r="G31" s="630"/>
      <c r="H31" s="630"/>
      <c r="I31" s="630"/>
      <c r="J31" s="630"/>
      <c r="K31" s="630"/>
      <c r="L31" s="631"/>
      <c r="U31" s="428">
        <f>G34</f>
        <v>35.44</v>
      </c>
      <c r="V31" s="428">
        <f>K41</f>
        <v>39.32</v>
      </c>
    </row>
    <row r="32" spans="2:22" ht="20.100000000000001" customHeight="1">
      <c r="E32" s="625" t="s">
        <v>344</v>
      </c>
      <c r="F32" s="626"/>
      <c r="G32" s="626"/>
      <c r="H32" s="626"/>
      <c r="I32" s="627" t="s">
        <v>342</v>
      </c>
      <c r="J32" s="626"/>
      <c r="K32" s="626"/>
      <c r="L32" s="628"/>
      <c r="U32" s="428">
        <f>K34</f>
        <v>30.38</v>
      </c>
      <c r="V32" s="428">
        <f>G41</f>
        <v>45.87</v>
      </c>
    </row>
    <row r="33" spans="2:22" ht="39.950000000000003" customHeight="1">
      <c r="E33" s="434" t="s">
        <v>347</v>
      </c>
      <c r="F33" s="435" t="s">
        <v>348</v>
      </c>
      <c r="G33" s="435" t="s">
        <v>466</v>
      </c>
      <c r="H33" s="435" t="s">
        <v>350</v>
      </c>
      <c r="I33" s="436" t="s">
        <v>347</v>
      </c>
      <c r="J33" s="435" t="s">
        <v>348</v>
      </c>
      <c r="K33" s="435" t="s">
        <v>466</v>
      </c>
      <c r="L33" s="437" t="s">
        <v>350</v>
      </c>
      <c r="U33" s="428">
        <f>F36</f>
        <v>45.57</v>
      </c>
      <c r="V33" s="428">
        <f>F43</f>
        <v>58.97</v>
      </c>
    </row>
    <row r="34" spans="2:22" ht="39.950000000000003" customHeight="1">
      <c r="E34" s="438" t="s">
        <v>348</v>
      </c>
      <c r="F34" s="439" t="s">
        <v>500</v>
      </c>
      <c r="G34" s="451">
        <f>G19+I10</f>
        <v>35.44</v>
      </c>
      <c r="H34" s="439" t="s">
        <v>500</v>
      </c>
      <c r="I34" s="435" t="s">
        <v>348</v>
      </c>
      <c r="J34" s="439" t="s">
        <v>500</v>
      </c>
      <c r="K34" s="451">
        <f>K19+I8</f>
        <v>30.38</v>
      </c>
      <c r="L34" s="439" t="s">
        <v>500</v>
      </c>
      <c r="U34" s="428">
        <f>G36</f>
        <v>50.63</v>
      </c>
      <c r="V34" s="428">
        <f>G43</f>
        <v>65.53</v>
      </c>
    </row>
    <row r="35" spans="2:22" ht="39.950000000000003" customHeight="1">
      <c r="E35" s="438" t="s">
        <v>349</v>
      </c>
      <c r="F35" s="439" t="s">
        <v>500</v>
      </c>
      <c r="G35" s="439" t="s">
        <v>500</v>
      </c>
      <c r="H35" s="439" t="s">
        <v>500</v>
      </c>
      <c r="I35" s="435" t="s">
        <v>349</v>
      </c>
      <c r="J35" s="439" t="s">
        <v>500</v>
      </c>
      <c r="K35" s="439" t="s">
        <v>500</v>
      </c>
      <c r="L35" s="439" t="s">
        <v>500</v>
      </c>
      <c r="U35" s="428">
        <f>J36</f>
        <v>70.89</v>
      </c>
      <c r="V35" s="428">
        <f>J43</f>
        <v>91.74</v>
      </c>
    </row>
    <row r="36" spans="2:22" ht="39.950000000000003" customHeight="1">
      <c r="B36" s="519" t="s">
        <v>502</v>
      </c>
      <c r="E36" s="438" t="s">
        <v>350</v>
      </c>
      <c r="F36" s="452">
        <f>G7</f>
        <v>45.57</v>
      </c>
      <c r="G36" s="452">
        <f>G10</f>
        <v>50.63</v>
      </c>
      <c r="H36" s="439" t="s">
        <v>500</v>
      </c>
      <c r="I36" s="435" t="s">
        <v>350</v>
      </c>
      <c r="J36" s="452">
        <f>G5</f>
        <v>70.89</v>
      </c>
      <c r="K36" s="452">
        <f>G8</f>
        <v>101.27</v>
      </c>
      <c r="L36" s="439" t="s">
        <v>500</v>
      </c>
      <c r="U36" s="428">
        <f>K36</f>
        <v>101.27</v>
      </c>
      <c r="V36" s="428">
        <f>K43</f>
        <v>131.05000000000001</v>
      </c>
    </row>
    <row r="37" spans="2:22" ht="20.100000000000001" customHeight="1" thickBot="1">
      <c r="B37" s="503" t="s">
        <v>485</v>
      </c>
      <c r="C37" s="502"/>
      <c r="E37" s="443"/>
      <c r="F37" s="206"/>
      <c r="L37" s="444"/>
      <c r="N37" s="640"/>
      <c r="O37" s="641"/>
      <c r="P37" s="633"/>
      <c r="Q37" s="634"/>
      <c r="R37" s="634"/>
      <c r="S37" s="634"/>
      <c r="U37" s="343" t="s">
        <v>513</v>
      </c>
      <c r="V37" s="343" t="s">
        <v>513</v>
      </c>
    </row>
    <row r="38" spans="2:22" ht="20.100000000000001" customHeight="1">
      <c r="E38" s="629" t="s">
        <v>448</v>
      </c>
      <c r="F38" s="636"/>
      <c r="G38" s="636"/>
      <c r="H38" s="636"/>
      <c r="I38" s="636"/>
      <c r="J38" s="636"/>
      <c r="K38" s="636"/>
      <c r="L38" s="637"/>
      <c r="N38" s="641"/>
      <c r="O38" s="641"/>
      <c r="P38" s="633"/>
      <c r="Q38" s="633"/>
      <c r="R38" s="633"/>
      <c r="S38" s="633"/>
      <c r="U38" s="428">
        <f>K49</f>
        <v>20.25</v>
      </c>
      <c r="V38" s="428">
        <f>K56</f>
        <v>26.21</v>
      </c>
    </row>
    <row r="39" spans="2:22" ht="20.100000000000001" customHeight="1">
      <c r="B39" s="206" t="s">
        <v>520</v>
      </c>
      <c r="E39" s="625" t="s">
        <v>344</v>
      </c>
      <c r="F39" s="626"/>
      <c r="G39" s="626"/>
      <c r="H39" s="626"/>
      <c r="I39" s="627" t="s">
        <v>342</v>
      </c>
      <c r="J39" s="626"/>
      <c r="K39" s="626"/>
      <c r="L39" s="628"/>
      <c r="N39" s="641"/>
      <c r="O39" s="641"/>
      <c r="P39" s="635"/>
      <c r="Q39" s="634"/>
      <c r="R39" s="635"/>
      <c r="S39" s="634"/>
      <c r="U39" s="428">
        <f>G49</f>
        <v>25.309999999999995</v>
      </c>
      <c r="V39" s="428">
        <f>G56</f>
        <v>32.76</v>
      </c>
    </row>
    <row r="40" spans="2:22" ht="39.950000000000003" customHeight="1">
      <c r="B40" s="206" t="s">
        <v>503</v>
      </c>
      <c r="E40" s="434" t="s">
        <v>347</v>
      </c>
      <c r="F40" s="435" t="s">
        <v>348</v>
      </c>
      <c r="G40" s="435" t="s">
        <v>466</v>
      </c>
      <c r="H40" s="435" t="s">
        <v>350</v>
      </c>
      <c r="I40" s="436" t="s">
        <v>347</v>
      </c>
      <c r="J40" s="435" t="s">
        <v>348</v>
      </c>
      <c r="K40" s="435" t="s">
        <v>466</v>
      </c>
      <c r="L40" s="437" t="s">
        <v>350</v>
      </c>
      <c r="N40" s="641"/>
      <c r="O40" s="641"/>
      <c r="P40" s="270"/>
      <c r="Q40" s="270"/>
      <c r="R40" s="270"/>
      <c r="S40" s="270"/>
      <c r="U40" s="428">
        <f>G51</f>
        <v>50.63</v>
      </c>
      <c r="V40" s="428">
        <f>G58</f>
        <v>65.53</v>
      </c>
    </row>
    <row r="41" spans="2:22" ht="39.950000000000003" customHeight="1">
      <c r="E41" s="438" t="s">
        <v>348</v>
      </c>
      <c r="F41" s="439" t="s">
        <v>500</v>
      </c>
      <c r="G41" s="451">
        <f>G26+J10</f>
        <v>45.87</v>
      </c>
      <c r="H41" s="439" t="s">
        <v>500</v>
      </c>
      <c r="I41" s="435" t="s">
        <v>348</v>
      </c>
      <c r="J41" s="439" t="s">
        <v>500</v>
      </c>
      <c r="K41" s="451">
        <f>K26+J8</f>
        <v>39.32</v>
      </c>
      <c r="L41" s="439" t="s">
        <v>500</v>
      </c>
      <c r="N41" s="638"/>
      <c r="O41" s="639"/>
      <c r="P41" s="270"/>
      <c r="Q41" s="270"/>
      <c r="R41" s="270"/>
      <c r="S41" s="270"/>
      <c r="U41" s="428">
        <f>K51</f>
        <v>97.22</v>
      </c>
      <c r="V41" s="428">
        <f>K58</f>
        <v>131.05000000000001</v>
      </c>
    </row>
    <row r="42" spans="2:22" ht="39.950000000000003" customHeight="1">
      <c r="E42" s="438" t="s">
        <v>349</v>
      </c>
      <c r="F42" s="439" t="s">
        <v>500</v>
      </c>
      <c r="G42" s="439" t="s">
        <v>500</v>
      </c>
      <c r="H42" s="439" t="s">
        <v>500</v>
      </c>
      <c r="I42" s="435" t="s">
        <v>349</v>
      </c>
      <c r="J42" s="439" t="s">
        <v>500</v>
      </c>
      <c r="K42" s="439" t="s">
        <v>500</v>
      </c>
      <c r="L42" s="439" t="s">
        <v>500</v>
      </c>
      <c r="P42" s="270"/>
      <c r="Q42" s="270"/>
      <c r="R42" s="270"/>
      <c r="S42" s="270"/>
      <c r="U42" s="343" t="s">
        <v>413</v>
      </c>
      <c r="V42" s="343" t="s">
        <v>413</v>
      </c>
    </row>
    <row r="43" spans="2:22" ht="39.950000000000003" customHeight="1" thickBot="1">
      <c r="E43" s="446" t="s">
        <v>350</v>
      </c>
      <c r="F43" s="453">
        <f>H7</f>
        <v>58.97</v>
      </c>
      <c r="G43" s="453">
        <f>H10</f>
        <v>65.53</v>
      </c>
      <c r="H43" s="439" t="s">
        <v>500</v>
      </c>
      <c r="I43" s="449" t="s">
        <v>350</v>
      </c>
      <c r="J43" s="453">
        <f>H5</f>
        <v>91.74</v>
      </c>
      <c r="K43" s="453">
        <f>H8</f>
        <v>131.05000000000001</v>
      </c>
      <c r="L43" s="439" t="s">
        <v>500</v>
      </c>
      <c r="U43" s="428">
        <f>R11</f>
        <v>0.29160000000000003</v>
      </c>
      <c r="V43" s="428">
        <f>S11</f>
        <v>8.5000000000000006E-2</v>
      </c>
    </row>
    <row r="44" spans="2:22" ht="15.75" thickBot="1">
      <c r="E44" s="492"/>
      <c r="F44" s="492"/>
      <c r="G44" s="492"/>
      <c r="H44" s="492"/>
      <c r="I44" s="492"/>
      <c r="J44" s="492"/>
      <c r="K44" s="492"/>
      <c r="L44" s="492"/>
      <c r="U44" s="428">
        <f>P11</f>
        <v>0.48600000000000004</v>
      </c>
      <c r="V44" s="428">
        <f>Q11</f>
        <v>0.14180000000000001</v>
      </c>
    </row>
    <row r="45" spans="2:22" ht="15.75" thickBot="1">
      <c r="U45" s="428">
        <f>R9</f>
        <v>1.1140000000000001</v>
      </c>
      <c r="V45" s="428">
        <f>S9</f>
        <v>1.4416</v>
      </c>
    </row>
    <row r="46" spans="2:22" ht="20.100000000000001" customHeight="1">
      <c r="E46" s="629" t="s">
        <v>449</v>
      </c>
      <c r="F46" s="630"/>
      <c r="G46" s="630"/>
      <c r="H46" s="630"/>
      <c r="I46" s="630"/>
      <c r="J46" s="630"/>
      <c r="K46" s="630"/>
      <c r="L46" s="631"/>
      <c r="U46" s="428">
        <f>R10</f>
        <v>1.2152000000000001</v>
      </c>
      <c r="V46" s="428">
        <f>S10</f>
        <v>1.5726</v>
      </c>
    </row>
    <row r="47" spans="2:22" ht="20.100000000000001" customHeight="1">
      <c r="E47" s="625" t="s">
        <v>344</v>
      </c>
      <c r="F47" s="626"/>
      <c r="G47" s="626"/>
      <c r="H47" s="626"/>
      <c r="I47" s="627" t="s">
        <v>342</v>
      </c>
      <c r="J47" s="626"/>
      <c r="K47" s="626"/>
      <c r="L47" s="628"/>
      <c r="U47" s="428">
        <f>P10</f>
        <v>2.0253999999999999</v>
      </c>
      <c r="V47" s="428">
        <f>Q9</f>
        <v>2.6210000000000004</v>
      </c>
    </row>
    <row r="48" spans="2:22" ht="39.950000000000003" customHeight="1">
      <c r="E48" s="434" t="s">
        <v>347</v>
      </c>
      <c r="F48" s="435" t="s">
        <v>348</v>
      </c>
      <c r="G48" s="454" t="s">
        <v>519</v>
      </c>
      <c r="H48" s="435" t="s">
        <v>350</v>
      </c>
      <c r="I48" s="436" t="s">
        <v>347</v>
      </c>
      <c r="J48" s="435" t="s">
        <v>348</v>
      </c>
      <c r="K48" s="454" t="s">
        <v>519</v>
      </c>
      <c r="L48" s="437" t="s">
        <v>350</v>
      </c>
      <c r="U48" s="374"/>
      <c r="V48" s="374"/>
    </row>
    <row r="49" spans="2:22" ht="39.950000000000003" customHeight="1">
      <c r="E49" s="438" t="s">
        <v>348</v>
      </c>
      <c r="F49" s="439"/>
      <c r="G49" s="451">
        <f>G19+K10</f>
        <v>25.309999999999995</v>
      </c>
      <c r="H49" s="439"/>
      <c r="I49" s="435" t="s">
        <v>348</v>
      </c>
      <c r="J49" s="439"/>
      <c r="K49" s="451">
        <f>K19+K8</f>
        <v>20.25</v>
      </c>
      <c r="L49" s="441"/>
      <c r="U49" s="343" t="s">
        <v>414</v>
      </c>
      <c r="V49" s="343" t="s">
        <v>415</v>
      </c>
    </row>
    <row r="50" spans="2:22" ht="39.950000000000003" customHeight="1">
      <c r="E50" s="438" t="s">
        <v>349</v>
      </c>
      <c r="F50" s="439"/>
      <c r="G50" s="439" t="s">
        <v>500</v>
      </c>
      <c r="H50" s="439"/>
      <c r="I50" s="435" t="s">
        <v>349</v>
      </c>
      <c r="J50" s="439"/>
      <c r="K50" s="439" t="s">
        <v>501</v>
      </c>
      <c r="L50" s="441"/>
      <c r="U50" s="428">
        <f>Q3</f>
        <v>4.7699999999999996</v>
      </c>
      <c r="V50" s="428">
        <f>R3</f>
        <v>3.57</v>
      </c>
    </row>
    <row r="51" spans="2:22" ht="39.950000000000003" customHeight="1">
      <c r="B51" s="519" t="s">
        <v>502</v>
      </c>
      <c r="E51" s="438" t="s">
        <v>350</v>
      </c>
      <c r="F51" s="439"/>
      <c r="G51" s="452">
        <f>G10</f>
        <v>50.63</v>
      </c>
      <c r="H51" s="439"/>
      <c r="I51" s="435" t="s">
        <v>350</v>
      </c>
      <c r="J51" s="455"/>
      <c r="K51" s="451">
        <f>K21+K8</f>
        <v>97.22</v>
      </c>
      <c r="L51" s="442"/>
      <c r="U51" s="343" t="s">
        <v>416</v>
      </c>
      <c r="V51" s="343" t="s">
        <v>417</v>
      </c>
    </row>
    <row r="52" spans="2:22" ht="20.100000000000001" customHeight="1" thickBot="1">
      <c r="B52" s="503" t="s">
        <v>485</v>
      </c>
      <c r="E52" s="443"/>
      <c r="F52" s="206"/>
      <c r="L52" s="444"/>
      <c r="U52" s="428">
        <f>P18</f>
        <v>9.5399999999999999E-2</v>
      </c>
      <c r="V52" s="428">
        <f>R18</f>
        <v>7.1400000000000005E-2</v>
      </c>
    </row>
    <row r="53" spans="2:22" ht="20.100000000000001" customHeight="1">
      <c r="E53" s="629" t="s">
        <v>450</v>
      </c>
      <c r="F53" s="630"/>
      <c r="G53" s="630"/>
      <c r="H53" s="630"/>
      <c r="I53" s="630"/>
      <c r="J53" s="630"/>
      <c r="K53" s="630"/>
      <c r="L53" s="631"/>
    </row>
    <row r="54" spans="2:22" ht="20.100000000000001" customHeight="1">
      <c r="B54" s="206" t="s">
        <v>520</v>
      </c>
      <c r="E54" s="625" t="s">
        <v>344</v>
      </c>
      <c r="F54" s="626"/>
      <c r="G54" s="626"/>
      <c r="H54" s="626"/>
      <c r="I54" s="627" t="s">
        <v>342</v>
      </c>
      <c r="J54" s="626"/>
      <c r="K54" s="626"/>
      <c r="L54" s="628"/>
    </row>
    <row r="55" spans="2:22" ht="39.950000000000003" customHeight="1">
      <c r="B55" s="206" t="s">
        <v>503</v>
      </c>
      <c r="E55" s="434" t="s">
        <v>347</v>
      </c>
      <c r="F55" s="435"/>
      <c r="G55" s="454" t="s">
        <v>519</v>
      </c>
      <c r="H55" s="435"/>
      <c r="I55" s="436" t="s">
        <v>347</v>
      </c>
      <c r="J55" s="435"/>
      <c r="K55" s="454" t="s">
        <v>519</v>
      </c>
      <c r="L55" s="437"/>
    </row>
    <row r="56" spans="2:22" ht="39.950000000000003" customHeight="1">
      <c r="E56" s="438" t="s">
        <v>348</v>
      </c>
      <c r="F56" s="439"/>
      <c r="G56" s="451">
        <f>G26+L10</f>
        <v>32.76</v>
      </c>
      <c r="H56" s="439"/>
      <c r="I56" s="435" t="s">
        <v>348</v>
      </c>
      <c r="J56" s="439"/>
      <c r="K56" s="451">
        <f>K26+L8</f>
        <v>26.21</v>
      </c>
      <c r="L56" s="441"/>
      <c r="U56" s="374"/>
      <c r="V56" s="374"/>
    </row>
    <row r="57" spans="2:22" ht="39.950000000000003" customHeight="1">
      <c r="E57" s="438" t="s">
        <v>349</v>
      </c>
      <c r="F57" s="439"/>
      <c r="G57" s="439" t="s">
        <v>500</v>
      </c>
      <c r="H57" s="439"/>
      <c r="I57" s="435" t="s">
        <v>349</v>
      </c>
      <c r="J57" s="439"/>
      <c r="K57" s="439" t="s">
        <v>500</v>
      </c>
      <c r="L57" s="441"/>
      <c r="U57" s="374"/>
      <c r="V57" s="374"/>
    </row>
    <row r="58" spans="2:22" ht="39.950000000000003" customHeight="1" thickBot="1">
      <c r="E58" s="446" t="s">
        <v>350</v>
      </c>
      <c r="F58" s="456"/>
      <c r="G58" s="453">
        <f>H10</f>
        <v>65.53</v>
      </c>
      <c r="H58" s="448"/>
      <c r="I58" s="449" t="s">
        <v>350</v>
      </c>
      <c r="J58" s="456"/>
      <c r="K58" s="453">
        <f>H8</f>
        <v>131.05000000000001</v>
      </c>
      <c r="L58" s="450"/>
      <c r="U58" s="374"/>
      <c r="V58" s="374"/>
    </row>
    <row r="59" spans="2:22">
      <c r="U59" s="374"/>
      <c r="V59" s="374"/>
    </row>
    <row r="60" spans="2:22">
      <c r="U60" s="374"/>
      <c r="V60" s="374"/>
    </row>
    <row r="61" spans="2:22">
      <c r="U61" s="374"/>
      <c r="V61" s="374"/>
    </row>
    <row r="62" spans="2:22">
      <c r="U62" s="374"/>
      <c r="V62" s="374"/>
    </row>
    <row r="83" spans="5:7">
      <c r="E83" s="457"/>
      <c r="F83" s="374"/>
    </row>
    <row r="84" spans="5:7">
      <c r="E84" s="458"/>
      <c r="F84" s="374"/>
      <c r="G84" s="458"/>
    </row>
    <row r="85" spans="5:7">
      <c r="E85" s="374"/>
      <c r="F85" s="374"/>
    </row>
    <row r="86" spans="5:7">
      <c r="E86" s="457"/>
      <c r="F86" s="374"/>
    </row>
    <row r="87" spans="5:7">
      <c r="E87" s="458"/>
      <c r="F87" s="374"/>
      <c r="G87" s="458"/>
    </row>
  </sheetData>
  <sheetProtection algorithmName="SHA-512" hashValue="Yw8JuuwCYAcPaG73TWVA6HNk7OKTfVtCGcScoT0v3b+x0HwkkM58ZSsVA/RyKBRrz3UPbdTxIeaJwN8NucP3MA==" saltValue="5NPaO2yJ8l+QyywaVq8AVg==" spinCount="100000" sheet="1" objects="1" scenarios="1" selectLockedCells="1" selectUnlockedCells="1"/>
  <mergeCells count="55">
    <mergeCell ref="N41:O41"/>
    <mergeCell ref="E46:L46"/>
    <mergeCell ref="E47:H47"/>
    <mergeCell ref="I47:L47"/>
    <mergeCell ref="I24:L24"/>
    <mergeCell ref="E31:L31"/>
    <mergeCell ref="E32:H32"/>
    <mergeCell ref="N37:O40"/>
    <mergeCell ref="I32:L32"/>
    <mergeCell ref="E53:L53"/>
    <mergeCell ref="E54:H54"/>
    <mergeCell ref="I54:L54"/>
    <mergeCell ref="E39:H39"/>
    <mergeCell ref="I39:L39"/>
    <mergeCell ref="P37:S37"/>
    <mergeCell ref="P38:S38"/>
    <mergeCell ref="P39:Q39"/>
    <mergeCell ref="R39:S39"/>
    <mergeCell ref="E38:L38"/>
    <mergeCell ref="P14:S14"/>
    <mergeCell ref="E17:H17"/>
    <mergeCell ref="I17:L17"/>
    <mergeCell ref="P15:S15"/>
    <mergeCell ref="P16:Q16"/>
    <mergeCell ref="R16:S16"/>
    <mergeCell ref="E16:L16"/>
    <mergeCell ref="N14:O17"/>
    <mergeCell ref="P17:Q17"/>
    <mergeCell ref="R17:S17"/>
    <mergeCell ref="N18:O18"/>
    <mergeCell ref="P18:Q18"/>
    <mergeCell ref="R18:S18"/>
    <mergeCell ref="E23:L23"/>
    <mergeCell ref="E24:H24"/>
    <mergeCell ref="B11:B13"/>
    <mergeCell ref="C11:C13"/>
    <mergeCell ref="N9:O9"/>
    <mergeCell ref="N10:O10"/>
    <mergeCell ref="N11:O11"/>
    <mergeCell ref="B5:B7"/>
    <mergeCell ref="C5:C7"/>
    <mergeCell ref="K5:L7"/>
    <mergeCell ref="N5:O8"/>
    <mergeCell ref="P5:S5"/>
    <mergeCell ref="B8:B10"/>
    <mergeCell ref="C8:C10"/>
    <mergeCell ref="P6:S6"/>
    <mergeCell ref="P7:Q7"/>
    <mergeCell ref="R7:S7"/>
    <mergeCell ref="N2:O3"/>
    <mergeCell ref="P2:P3"/>
    <mergeCell ref="B3:D4"/>
    <mergeCell ref="E3:F3"/>
    <mergeCell ref="G3:H3"/>
    <mergeCell ref="I3:J3"/>
  </mergeCells>
  <pageMargins left="0.7" right="0.7" top="0.75" bottom="0.75" header="0.3" footer="0.3"/>
  <pageSetup paperSize="8" scale="4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1:AP249"/>
  <sheetViews>
    <sheetView showGridLines="0" zoomScaleNormal="100" workbookViewId="0">
      <selection activeCell="V9" sqref="V9"/>
    </sheetView>
  </sheetViews>
  <sheetFormatPr defaultColWidth="9.140625" defaultRowHeight="12.75"/>
  <cols>
    <col min="1" max="1" width="2.42578125" style="241" customWidth="1"/>
    <col min="2" max="2" width="4.85546875" style="241" customWidth="1"/>
    <col min="3" max="3" width="3.5703125" style="241" customWidth="1"/>
    <col min="4" max="4" width="4.5703125" style="241" customWidth="1"/>
    <col min="5" max="5" width="3.5703125" style="241" customWidth="1"/>
    <col min="6" max="6" width="14.5703125" style="241" customWidth="1"/>
    <col min="7" max="7" width="3.5703125" style="241" customWidth="1"/>
    <col min="8" max="8" width="12.5703125" style="241" customWidth="1"/>
    <col min="9" max="9" width="3.5703125" style="241" customWidth="1"/>
    <col min="10" max="10" width="12.5703125" style="241" customWidth="1"/>
    <col min="11" max="11" width="3.5703125" style="241" customWidth="1"/>
    <col min="12" max="12" width="12.5703125" style="241" customWidth="1"/>
    <col min="13" max="13" width="3.5703125" style="241" customWidth="1"/>
    <col min="14" max="14" width="14.5703125" style="241" customWidth="1"/>
    <col min="15" max="15" width="3.5703125" style="241" customWidth="1"/>
    <col min="16" max="16" width="14.5703125" style="241" customWidth="1"/>
    <col min="17" max="17" width="9.42578125" style="241" customWidth="1"/>
    <col min="18" max="18" width="4.85546875" style="241" customWidth="1"/>
    <col min="19" max="19" width="3.5703125" style="241" customWidth="1"/>
    <col min="20" max="20" width="4.5703125" style="241" customWidth="1"/>
    <col min="21" max="21" width="3.5703125" style="241" customWidth="1"/>
    <col min="22" max="22" width="14.5703125" style="241" customWidth="1"/>
    <col min="23" max="23" width="3.5703125" style="241" customWidth="1"/>
    <col min="24" max="24" width="12.5703125" style="241" customWidth="1"/>
    <col min="25" max="25" width="3.5703125" style="241" customWidth="1"/>
    <col min="26" max="26" width="13.85546875" style="241" customWidth="1"/>
    <col min="27" max="27" width="3.5703125" style="241" customWidth="1"/>
    <col min="28" max="28" width="12.5703125" style="241" customWidth="1"/>
    <col min="29" max="29" width="3.5703125" style="241" customWidth="1"/>
    <col min="30" max="30" width="14.5703125" style="241" customWidth="1"/>
    <col min="31" max="31" width="3.5703125" style="241" customWidth="1"/>
    <col min="32" max="32" width="14.5703125" style="241" customWidth="1"/>
    <col min="33" max="33" width="9.42578125" style="241" customWidth="1"/>
    <col min="34" max="34" width="2.42578125" style="241" hidden="1" customWidth="1"/>
    <col min="35" max="35" width="16.5703125" style="263" hidden="1" customWidth="1"/>
    <col min="36" max="36" width="16.5703125" style="264" hidden="1" customWidth="1"/>
    <col min="37" max="37" width="16" style="264" hidden="1" customWidth="1"/>
    <col min="38" max="39" width="9.140625" style="264" hidden="1" customWidth="1"/>
    <col min="40" max="40" width="9.140625" style="265" hidden="1" customWidth="1"/>
    <col min="41" max="41" width="0" style="241" hidden="1" customWidth="1"/>
    <col min="42" max="42" width="9.140625" style="241" hidden="1" customWidth="1"/>
    <col min="43" max="60" width="0" style="241" hidden="1" customWidth="1"/>
    <col min="61" max="16384" width="9.140625" style="241"/>
  </cols>
  <sheetData>
    <row r="1" spans="2:40" ht="15" customHeight="1" thickBot="1">
      <c r="B1" s="26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Q1" s="476" t="s">
        <v>606</v>
      </c>
      <c r="R1" s="262"/>
      <c r="S1" s="2"/>
      <c r="T1" s="2"/>
      <c r="U1" s="573" t="s">
        <v>602</v>
      </c>
      <c r="V1" s="572"/>
      <c r="W1" s="2"/>
      <c r="X1" s="2"/>
      <c r="Y1" s="2"/>
      <c r="Z1" s="2"/>
      <c r="AA1" s="2"/>
      <c r="AB1" s="2"/>
      <c r="AC1" s="2"/>
      <c r="AD1" s="2"/>
      <c r="AG1" s="476" t="s">
        <v>606</v>
      </c>
    </row>
    <row r="2" spans="2:40" ht="12.75" customHeight="1">
      <c r="B2" s="703" t="s">
        <v>609</v>
      </c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5"/>
      <c r="R2" s="682" t="s">
        <v>610</v>
      </c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4"/>
      <c r="AG2" s="679" t="s">
        <v>552</v>
      </c>
    </row>
    <row r="3" spans="2:40" ht="12.75" customHeight="1">
      <c r="B3" s="706"/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8"/>
      <c r="R3" s="685"/>
      <c r="S3" s="686"/>
      <c r="T3" s="686"/>
      <c r="U3" s="686"/>
      <c r="V3" s="686"/>
      <c r="W3" s="686"/>
      <c r="X3" s="686"/>
      <c r="Y3" s="686"/>
      <c r="Z3" s="686"/>
      <c r="AA3" s="686"/>
      <c r="AB3" s="686"/>
      <c r="AC3" s="686"/>
      <c r="AD3" s="686"/>
      <c r="AE3" s="686"/>
      <c r="AF3" s="687"/>
      <c r="AG3" s="680"/>
    </row>
    <row r="4" spans="2:40" ht="12.75" customHeight="1">
      <c r="B4" s="685" t="s">
        <v>18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7"/>
      <c r="R4" s="685" t="s">
        <v>18</v>
      </c>
      <c r="S4" s="634"/>
      <c r="T4" s="634"/>
      <c r="U4" s="634"/>
      <c r="V4" s="634"/>
      <c r="W4" s="634"/>
      <c r="X4" s="634"/>
      <c r="Y4" s="634"/>
      <c r="Z4" s="634"/>
      <c r="AA4" s="634"/>
      <c r="AB4" s="634"/>
      <c r="AC4" s="634"/>
      <c r="AD4" s="634"/>
      <c r="AE4" s="634"/>
      <c r="AF4" s="732" t="s">
        <v>601</v>
      </c>
      <c r="AG4" s="680"/>
    </row>
    <row r="5" spans="2:40" ht="13.5" customHeight="1" thickBot="1">
      <c r="B5" s="685"/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686"/>
      <c r="O5" s="686"/>
      <c r="P5" s="686"/>
      <c r="Q5" s="687"/>
      <c r="R5" s="730"/>
      <c r="S5" s="731"/>
      <c r="T5" s="731"/>
      <c r="U5" s="731"/>
      <c r="V5" s="731"/>
      <c r="W5" s="731"/>
      <c r="X5" s="731"/>
      <c r="Y5" s="731"/>
      <c r="Z5" s="731"/>
      <c r="AA5" s="731"/>
      <c r="AB5" s="731"/>
      <c r="AC5" s="731"/>
      <c r="AD5" s="731"/>
      <c r="AE5" s="731"/>
      <c r="AF5" s="733"/>
      <c r="AG5" s="681"/>
    </row>
    <row r="6" spans="2:40">
      <c r="B6" s="266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8"/>
      <c r="R6" s="266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8"/>
    </row>
    <row r="7" spans="2:40" s="265" customFormat="1" ht="15">
      <c r="B7" s="269"/>
      <c r="C7" s="241"/>
      <c r="D7" s="241"/>
      <c r="E7" s="241"/>
      <c r="F7" s="241"/>
      <c r="G7" s="270"/>
      <c r="H7" s="241"/>
      <c r="I7" s="270"/>
      <c r="J7" s="241"/>
      <c r="K7" s="270"/>
      <c r="L7" s="241"/>
      <c r="M7" s="270"/>
      <c r="N7" s="241"/>
      <c r="O7" s="241"/>
      <c r="P7" s="241"/>
      <c r="Q7" s="271"/>
      <c r="R7" s="290"/>
      <c r="S7" s="326"/>
      <c r="T7" s="272"/>
      <c r="U7" s="273"/>
      <c r="V7" s="274" t="s">
        <v>7</v>
      </c>
      <c r="W7" s="274"/>
      <c r="X7" s="274" t="s">
        <v>8</v>
      </c>
      <c r="Y7" s="274"/>
      <c r="Z7" s="274" t="s">
        <v>9</v>
      </c>
      <c r="AA7" s="274"/>
      <c r="AB7" s="274" t="s">
        <v>10</v>
      </c>
      <c r="AC7" s="274"/>
      <c r="AD7" s="274"/>
      <c r="AE7" s="273"/>
      <c r="AF7" s="275"/>
      <c r="AG7" s="276"/>
      <c r="AI7" s="263">
        <f>(V9*X9*AK7*AB9)</f>
        <v>0</v>
      </c>
      <c r="AJ7" s="264" t="s">
        <v>129</v>
      </c>
      <c r="AK7" s="264">
        <v>0.65</v>
      </c>
      <c r="AL7" s="264"/>
      <c r="AM7" s="264"/>
    </row>
    <row r="8" spans="2:40" s="1" customFormat="1">
      <c r="B8" s="269"/>
      <c r="F8" s="1" t="s">
        <v>3</v>
      </c>
      <c r="H8" s="1" t="s">
        <v>4</v>
      </c>
      <c r="J8" s="1" t="s">
        <v>300</v>
      </c>
      <c r="L8" s="1" t="s">
        <v>242</v>
      </c>
      <c r="O8" s="241"/>
      <c r="P8" s="241"/>
      <c r="Q8" s="271"/>
      <c r="R8" s="277"/>
      <c r="T8" s="278"/>
      <c r="V8" s="1" t="s">
        <v>3</v>
      </c>
      <c r="X8" s="1" t="s">
        <v>4</v>
      </c>
      <c r="Z8" s="1" t="s">
        <v>302</v>
      </c>
      <c r="AB8" s="1" t="s">
        <v>242</v>
      </c>
      <c r="AF8" s="279"/>
      <c r="AG8" s="280"/>
      <c r="AI8" s="263">
        <f>(V9*X9*AK8*AB9)</f>
        <v>0</v>
      </c>
      <c r="AJ8" s="264" t="s">
        <v>126</v>
      </c>
      <c r="AK8" s="264">
        <v>1</v>
      </c>
      <c r="AL8" s="264"/>
      <c r="AM8" s="264"/>
      <c r="AN8" s="265"/>
    </row>
    <row r="9" spans="2:40" ht="15">
      <c r="B9" s="269"/>
      <c r="D9" s="270" t="s">
        <v>0</v>
      </c>
      <c r="E9" s="241" t="s">
        <v>1</v>
      </c>
      <c r="F9" s="270" t="s">
        <v>248</v>
      </c>
      <c r="G9" s="241" t="s">
        <v>2</v>
      </c>
      <c r="H9" s="270" t="s">
        <v>246</v>
      </c>
      <c r="I9" s="241" t="s">
        <v>2</v>
      </c>
      <c r="J9" s="270" t="s">
        <v>247</v>
      </c>
      <c r="K9" s="241" t="s">
        <v>2</v>
      </c>
      <c r="L9" s="270" t="s">
        <v>301</v>
      </c>
      <c r="N9" s="270"/>
      <c r="P9" s="281"/>
      <c r="Q9" s="271"/>
      <c r="R9" s="269"/>
      <c r="T9" s="3" t="s">
        <v>0</v>
      </c>
      <c r="U9" s="241" t="s">
        <v>1</v>
      </c>
      <c r="V9" s="225"/>
      <c r="W9" s="241" t="s">
        <v>2</v>
      </c>
      <c r="X9" s="225"/>
      <c r="Y9" s="241" t="s">
        <v>2</v>
      </c>
      <c r="Z9" s="241" t="s">
        <v>126</v>
      </c>
      <c r="AA9" s="241" t="s">
        <v>2</v>
      </c>
      <c r="AB9" s="488">
        <v>1</v>
      </c>
      <c r="AD9" s="226"/>
      <c r="AE9" s="241" t="s">
        <v>1</v>
      </c>
      <c r="AF9" s="282">
        <f>IF(AI9&gt;0,AI9,0)</f>
        <v>0</v>
      </c>
      <c r="AG9" s="283"/>
      <c r="AI9" s="284">
        <f>IF(Z9="SI",AI7,AI8)</f>
        <v>0</v>
      </c>
    </row>
    <row r="10" spans="2:40">
      <c r="B10" s="269"/>
      <c r="Q10" s="271"/>
      <c r="R10" s="269"/>
      <c r="T10" s="285"/>
      <c r="AF10" s="286"/>
      <c r="AG10" s="283"/>
    </row>
    <row r="11" spans="2:40" ht="14.25">
      <c r="B11" s="269"/>
      <c r="G11" s="270"/>
      <c r="I11" s="270"/>
      <c r="K11" s="270"/>
      <c r="M11" s="270"/>
      <c r="Q11" s="271"/>
      <c r="R11" s="269"/>
      <c r="T11" s="287"/>
      <c r="U11" s="265"/>
      <c r="V11" s="288" t="s">
        <v>7</v>
      </c>
      <c r="W11" s="288"/>
      <c r="X11" s="288" t="s">
        <v>8</v>
      </c>
      <c r="Y11" s="288"/>
      <c r="Z11" s="288" t="s">
        <v>9</v>
      </c>
      <c r="AA11" s="288"/>
      <c r="AB11" s="288" t="s">
        <v>10</v>
      </c>
      <c r="AC11" s="288"/>
      <c r="AD11" s="288"/>
      <c r="AE11" s="265"/>
      <c r="AF11" s="289"/>
      <c r="AG11" s="271"/>
      <c r="AI11" s="263">
        <f>(V13*X13*AK11*AB13)</f>
        <v>0</v>
      </c>
      <c r="AJ11" s="264" t="s">
        <v>129</v>
      </c>
      <c r="AK11" s="264">
        <v>0.65</v>
      </c>
    </row>
    <row r="12" spans="2:40">
      <c r="B12" s="290"/>
      <c r="C12" s="265"/>
      <c r="D12" s="265"/>
      <c r="E12" s="265"/>
      <c r="F12" s="1" t="s">
        <v>3</v>
      </c>
      <c r="G12" s="1"/>
      <c r="H12" s="1" t="s">
        <v>4</v>
      </c>
      <c r="I12" s="1"/>
      <c r="J12" s="1" t="s">
        <v>300</v>
      </c>
      <c r="K12" s="1"/>
      <c r="L12" s="1" t="s">
        <v>242</v>
      </c>
      <c r="M12" s="265"/>
      <c r="N12" s="265"/>
      <c r="O12" s="265"/>
      <c r="P12" s="265"/>
      <c r="Q12" s="291"/>
      <c r="R12" s="269"/>
      <c r="T12" s="278"/>
      <c r="U12" s="1"/>
      <c r="V12" s="1" t="s">
        <v>3</v>
      </c>
      <c r="W12" s="1"/>
      <c r="X12" s="1" t="s">
        <v>4</v>
      </c>
      <c r="Y12" s="1"/>
      <c r="Z12" s="1" t="s">
        <v>302</v>
      </c>
      <c r="AA12" s="1"/>
      <c r="AB12" s="1" t="s">
        <v>242</v>
      </c>
      <c r="AC12" s="1"/>
      <c r="AD12" s="1"/>
      <c r="AE12" s="1"/>
      <c r="AF12" s="279"/>
      <c r="AG12" s="271"/>
      <c r="AI12" s="263">
        <f>(V13*X13*AK12*AB13)</f>
        <v>0</v>
      </c>
      <c r="AJ12" s="264" t="s">
        <v>126</v>
      </c>
      <c r="AK12" s="264">
        <v>1</v>
      </c>
    </row>
    <row r="13" spans="2:40" ht="15">
      <c r="B13" s="269"/>
      <c r="D13" s="270" t="s">
        <v>6</v>
      </c>
      <c r="E13" s="241" t="s">
        <v>1</v>
      </c>
      <c r="F13" s="270" t="s">
        <v>248</v>
      </c>
      <c r="G13" s="241" t="s">
        <v>2</v>
      </c>
      <c r="H13" s="270" t="s">
        <v>246</v>
      </c>
      <c r="I13" s="241" t="s">
        <v>2</v>
      </c>
      <c r="J13" s="270" t="s">
        <v>247</v>
      </c>
      <c r="K13" s="241" t="s">
        <v>2</v>
      </c>
      <c r="L13" s="270" t="s">
        <v>301</v>
      </c>
      <c r="N13" s="270"/>
      <c r="P13" s="281"/>
      <c r="Q13" s="271"/>
      <c r="R13" s="269"/>
      <c r="T13" s="3" t="s">
        <v>6</v>
      </c>
      <c r="U13" s="241" t="s">
        <v>1</v>
      </c>
      <c r="V13" s="225"/>
      <c r="W13" s="241" t="s">
        <v>2</v>
      </c>
      <c r="X13" s="225"/>
      <c r="Y13" s="241" t="s">
        <v>2</v>
      </c>
      <c r="Z13" s="241" t="s">
        <v>126</v>
      </c>
      <c r="AA13" s="241" t="s">
        <v>2</v>
      </c>
      <c r="AB13" s="488">
        <v>1</v>
      </c>
      <c r="AD13" s="226"/>
      <c r="AE13" s="241" t="s">
        <v>1</v>
      </c>
      <c r="AF13" s="282">
        <f>IF(AI13&gt;0,AI13,0)</f>
        <v>0</v>
      </c>
      <c r="AG13" s="271"/>
      <c r="AI13" s="284">
        <f>IF(Z13="SI",AI11,AI12)</f>
        <v>0</v>
      </c>
    </row>
    <row r="14" spans="2:40">
      <c r="B14" s="269"/>
      <c r="Q14" s="271"/>
      <c r="R14" s="269"/>
      <c r="T14" s="285"/>
      <c r="AF14" s="286"/>
      <c r="AG14" s="271"/>
    </row>
    <row r="15" spans="2:40">
      <c r="B15" s="269"/>
      <c r="Q15" s="271"/>
      <c r="R15" s="269"/>
      <c r="T15" s="292"/>
      <c r="U15" s="293"/>
      <c r="V15" s="293"/>
      <c r="W15" s="293"/>
      <c r="X15" s="293"/>
      <c r="Y15" s="293"/>
      <c r="Z15" s="293"/>
      <c r="AA15" s="293"/>
      <c r="AB15" s="293"/>
      <c r="AC15" s="293"/>
      <c r="AD15" s="294" t="s">
        <v>21</v>
      </c>
      <c r="AE15" s="294"/>
      <c r="AF15" s="295">
        <f>AF9+AF13</f>
        <v>0</v>
      </c>
      <c r="AG15" s="271"/>
    </row>
    <row r="16" spans="2:40">
      <c r="B16" s="269"/>
      <c r="Q16" s="271"/>
      <c r="R16" s="269"/>
      <c r="AG16" s="271"/>
    </row>
    <row r="17" spans="2:37" ht="14.25">
      <c r="B17" s="269"/>
      <c r="Q17" s="271"/>
      <c r="R17" s="269"/>
      <c r="T17" s="272"/>
      <c r="U17" s="273"/>
      <c r="V17" s="274" t="s">
        <v>7</v>
      </c>
      <c r="W17" s="274"/>
      <c r="X17" s="274" t="s">
        <v>8</v>
      </c>
      <c r="Y17" s="274"/>
      <c r="Z17" s="274" t="s">
        <v>9</v>
      </c>
      <c r="AA17" s="274"/>
      <c r="AB17" s="274" t="s">
        <v>10</v>
      </c>
      <c r="AC17" s="274"/>
      <c r="AD17" s="274"/>
      <c r="AE17" s="273"/>
      <c r="AF17" s="275"/>
      <c r="AG17" s="276"/>
      <c r="AH17" s="265"/>
      <c r="AI17" s="263">
        <f>(V19*X19*AK17*AB19)</f>
        <v>0</v>
      </c>
      <c r="AJ17" s="264" t="s">
        <v>129</v>
      </c>
      <c r="AK17" s="264">
        <v>0.65</v>
      </c>
    </row>
    <row r="18" spans="2:37">
      <c r="B18" s="269"/>
      <c r="Q18" s="271"/>
      <c r="R18" s="269"/>
      <c r="T18" s="278"/>
      <c r="U18" s="1"/>
      <c r="V18" s="1" t="s">
        <v>3</v>
      </c>
      <c r="W18" s="1"/>
      <c r="X18" s="1" t="s">
        <v>4</v>
      </c>
      <c r="Y18" s="1"/>
      <c r="Z18" s="1" t="s">
        <v>302</v>
      </c>
      <c r="AA18" s="1"/>
      <c r="AB18" s="1" t="s">
        <v>242</v>
      </c>
      <c r="AC18" s="1"/>
      <c r="AD18" s="1"/>
      <c r="AE18" s="1"/>
      <c r="AF18" s="279"/>
      <c r="AG18" s="280"/>
      <c r="AH18" s="1"/>
      <c r="AI18" s="263">
        <f>(V19*X19*AK18*AB19)</f>
        <v>0</v>
      </c>
      <c r="AJ18" s="264" t="s">
        <v>126</v>
      </c>
      <c r="AK18" s="264">
        <v>1</v>
      </c>
    </row>
    <row r="19" spans="2:37">
      <c r="B19" s="269"/>
      <c r="Q19" s="271"/>
      <c r="R19" s="269"/>
      <c r="T19" s="3" t="s">
        <v>0</v>
      </c>
      <c r="U19" s="241" t="s">
        <v>1</v>
      </c>
      <c r="V19" s="225"/>
      <c r="W19" s="241" t="s">
        <v>2</v>
      </c>
      <c r="X19" s="225"/>
      <c r="Y19" s="241" t="s">
        <v>2</v>
      </c>
      <c r="Z19" s="241" t="s">
        <v>126</v>
      </c>
      <c r="AA19" s="241" t="s">
        <v>2</v>
      </c>
      <c r="AB19" s="488">
        <v>1</v>
      </c>
      <c r="AD19" s="226"/>
      <c r="AE19" s="241" t="s">
        <v>1</v>
      </c>
      <c r="AF19" s="282">
        <f>IF(AI19&gt;0,AI19,0)</f>
        <v>0</v>
      </c>
      <c r="AG19" s="283"/>
      <c r="AI19" s="284">
        <f>IF(Z19="SI",AI17,AI18)</f>
        <v>0</v>
      </c>
    </row>
    <row r="20" spans="2:37">
      <c r="B20" s="269"/>
      <c r="Q20" s="271"/>
      <c r="R20" s="269"/>
      <c r="T20" s="285"/>
      <c r="AF20" s="286"/>
      <c r="AG20" s="283"/>
    </row>
    <row r="21" spans="2:37" ht="14.25">
      <c r="B21" s="269"/>
      <c r="Q21" s="271"/>
      <c r="R21" s="269"/>
      <c r="T21" s="287"/>
      <c r="U21" s="265"/>
      <c r="V21" s="288" t="s">
        <v>7</v>
      </c>
      <c r="W21" s="288"/>
      <c r="X21" s="288" t="s">
        <v>8</v>
      </c>
      <c r="Y21" s="288"/>
      <c r="Z21" s="288" t="s">
        <v>9</v>
      </c>
      <c r="AA21" s="288"/>
      <c r="AB21" s="288" t="s">
        <v>10</v>
      </c>
      <c r="AC21" s="288"/>
      <c r="AD21" s="288"/>
      <c r="AE21" s="265"/>
      <c r="AF21" s="289"/>
      <c r="AG21" s="271"/>
      <c r="AI21" s="263">
        <f>(V23*X23*AK21*AB23)</f>
        <v>0</v>
      </c>
      <c r="AJ21" s="264" t="s">
        <v>129</v>
      </c>
      <c r="AK21" s="264">
        <v>0.65</v>
      </c>
    </row>
    <row r="22" spans="2:37">
      <c r="B22" s="269"/>
      <c r="Q22" s="271"/>
      <c r="R22" s="269"/>
      <c r="T22" s="278"/>
      <c r="U22" s="1"/>
      <c r="V22" s="1" t="s">
        <v>3</v>
      </c>
      <c r="W22" s="1"/>
      <c r="X22" s="1" t="s">
        <v>4</v>
      </c>
      <c r="Y22" s="1"/>
      <c r="Z22" s="1" t="s">
        <v>302</v>
      </c>
      <c r="AA22" s="1"/>
      <c r="AB22" s="1" t="s">
        <v>242</v>
      </c>
      <c r="AC22" s="1"/>
      <c r="AD22" s="1"/>
      <c r="AE22" s="1"/>
      <c r="AF22" s="279"/>
      <c r="AG22" s="271"/>
      <c r="AI22" s="263">
        <f>(V23*X23*AK22*AB23)</f>
        <v>0</v>
      </c>
      <c r="AJ22" s="264" t="s">
        <v>126</v>
      </c>
      <c r="AK22" s="264">
        <v>1</v>
      </c>
    </row>
    <row r="23" spans="2:37">
      <c r="B23" s="269"/>
      <c r="Q23" s="271"/>
      <c r="R23" s="269"/>
      <c r="T23" s="3" t="s">
        <v>6</v>
      </c>
      <c r="U23" s="241" t="s">
        <v>1</v>
      </c>
      <c r="V23" s="225"/>
      <c r="W23" s="241" t="s">
        <v>2</v>
      </c>
      <c r="X23" s="225"/>
      <c r="Y23" s="241" t="s">
        <v>2</v>
      </c>
      <c r="Z23" s="241" t="s">
        <v>126</v>
      </c>
      <c r="AA23" s="241" t="s">
        <v>2</v>
      </c>
      <c r="AB23" s="488">
        <v>1</v>
      </c>
      <c r="AD23" s="226"/>
      <c r="AE23" s="241" t="s">
        <v>1</v>
      </c>
      <c r="AF23" s="282">
        <f>IF(AI23&gt;0,AI23,0)</f>
        <v>0</v>
      </c>
      <c r="AG23" s="271"/>
      <c r="AI23" s="284">
        <f>IF(Z23="SI",AI21,AI22)</f>
        <v>0</v>
      </c>
    </row>
    <row r="24" spans="2:37">
      <c r="B24" s="269"/>
      <c r="Q24" s="271"/>
      <c r="R24" s="269"/>
      <c r="T24" s="285"/>
      <c r="AF24" s="286"/>
      <c r="AG24" s="271"/>
    </row>
    <row r="25" spans="2:37">
      <c r="B25" s="269"/>
      <c r="Q25" s="271"/>
      <c r="R25" s="269"/>
      <c r="T25" s="292"/>
      <c r="U25" s="293"/>
      <c r="V25" s="293"/>
      <c r="W25" s="293"/>
      <c r="X25" s="293"/>
      <c r="Y25" s="293"/>
      <c r="Z25" s="293"/>
      <c r="AA25" s="293"/>
      <c r="AB25" s="293"/>
      <c r="AC25" s="293"/>
      <c r="AD25" s="294" t="s">
        <v>21</v>
      </c>
      <c r="AE25" s="294"/>
      <c r="AF25" s="295">
        <f>AF19+AF23</f>
        <v>0</v>
      </c>
      <c r="AG25" s="271"/>
    </row>
    <row r="26" spans="2:37">
      <c r="B26" s="269"/>
      <c r="Q26" s="271"/>
      <c r="R26" s="269"/>
      <c r="AG26" s="271"/>
    </row>
    <row r="27" spans="2:37" ht="14.25">
      <c r="B27" s="269"/>
      <c r="Q27" s="271"/>
      <c r="R27" s="269"/>
      <c r="T27" s="272"/>
      <c r="U27" s="273"/>
      <c r="V27" s="274" t="s">
        <v>7</v>
      </c>
      <c r="W27" s="274"/>
      <c r="X27" s="274" t="s">
        <v>8</v>
      </c>
      <c r="Y27" s="274"/>
      <c r="Z27" s="274" t="s">
        <v>9</v>
      </c>
      <c r="AA27" s="274"/>
      <c r="AB27" s="274" t="s">
        <v>10</v>
      </c>
      <c r="AC27" s="274"/>
      <c r="AD27" s="274"/>
      <c r="AE27" s="273"/>
      <c r="AF27" s="275"/>
      <c r="AG27" s="276"/>
      <c r="AH27" s="265"/>
      <c r="AI27" s="263">
        <f>(V29*X29*AK27*AB29)</f>
        <v>0</v>
      </c>
      <c r="AJ27" s="264" t="s">
        <v>129</v>
      </c>
      <c r="AK27" s="264">
        <v>0.65</v>
      </c>
    </row>
    <row r="28" spans="2:37">
      <c r="B28" s="269"/>
      <c r="Q28" s="271"/>
      <c r="R28" s="269"/>
      <c r="T28" s="278"/>
      <c r="U28" s="1"/>
      <c r="V28" s="1" t="s">
        <v>3</v>
      </c>
      <c r="W28" s="1"/>
      <c r="X28" s="1" t="s">
        <v>4</v>
      </c>
      <c r="Y28" s="1"/>
      <c r="Z28" s="1" t="s">
        <v>302</v>
      </c>
      <c r="AA28" s="1"/>
      <c r="AB28" s="1" t="s">
        <v>242</v>
      </c>
      <c r="AC28" s="1"/>
      <c r="AD28" s="1"/>
      <c r="AE28" s="1"/>
      <c r="AF28" s="279"/>
      <c r="AG28" s="280"/>
      <c r="AH28" s="1"/>
      <c r="AI28" s="263">
        <f>(V29*X29*AK28*AB29)</f>
        <v>0</v>
      </c>
      <c r="AJ28" s="264" t="s">
        <v>126</v>
      </c>
      <c r="AK28" s="264">
        <v>1</v>
      </c>
    </row>
    <row r="29" spans="2:37">
      <c r="B29" s="269"/>
      <c r="Q29" s="271"/>
      <c r="R29" s="269"/>
      <c r="T29" s="3" t="s">
        <v>0</v>
      </c>
      <c r="U29" s="241" t="s">
        <v>1</v>
      </c>
      <c r="V29" s="225"/>
      <c r="W29" s="241" t="s">
        <v>2</v>
      </c>
      <c r="X29" s="225"/>
      <c r="Y29" s="241" t="s">
        <v>2</v>
      </c>
      <c r="Z29" s="241" t="s">
        <v>126</v>
      </c>
      <c r="AA29" s="241" t="s">
        <v>2</v>
      </c>
      <c r="AB29" s="488">
        <v>1</v>
      </c>
      <c r="AD29" s="226"/>
      <c r="AE29" s="241" t="s">
        <v>1</v>
      </c>
      <c r="AF29" s="282">
        <f>IF(AI29&gt;0,AI29,0)</f>
        <v>0</v>
      </c>
      <c r="AG29" s="283"/>
      <c r="AI29" s="284">
        <f>IF(Z29="SI",AI27,AI28)</f>
        <v>0</v>
      </c>
    </row>
    <row r="30" spans="2:37">
      <c r="B30" s="269"/>
      <c r="Q30" s="271"/>
      <c r="R30" s="269"/>
      <c r="T30" s="285"/>
      <c r="AF30" s="286"/>
      <c r="AG30" s="283"/>
    </row>
    <row r="31" spans="2:37" ht="14.25">
      <c r="B31" s="269"/>
      <c r="Q31" s="271"/>
      <c r="R31" s="269"/>
      <c r="T31" s="287"/>
      <c r="U31" s="265"/>
      <c r="V31" s="288" t="s">
        <v>7</v>
      </c>
      <c r="W31" s="288"/>
      <c r="X31" s="288" t="s">
        <v>8</v>
      </c>
      <c r="Y31" s="288"/>
      <c r="Z31" s="288" t="s">
        <v>9</v>
      </c>
      <c r="AA31" s="288"/>
      <c r="AB31" s="288" t="s">
        <v>10</v>
      </c>
      <c r="AC31" s="288"/>
      <c r="AD31" s="288"/>
      <c r="AE31" s="265"/>
      <c r="AF31" s="289"/>
      <c r="AG31" s="271"/>
      <c r="AI31" s="263">
        <f>(V33*X33*AK31*AB33)</f>
        <v>0</v>
      </c>
      <c r="AJ31" s="264" t="s">
        <v>129</v>
      </c>
      <c r="AK31" s="264">
        <v>0.65</v>
      </c>
    </row>
    <row r="32" spans="2:37">
      <c r="B32" s="269"/>
      <c r="Q32" s="271"/>
      <c r="R32" s="269"/>
      <c r="T32" s="278"/>
      <c r="U32" s="1"/>
      <c r="V32" s="1" t="s">
        <v>3</v>
      </c>
      <c r="W32" s="1"/>
      <c r="X32" s="1" t="s">
        <v>4</v>
      </c>
      <c r="Y32" s="1"/>
      <c r="Z32" s="1" t="s">
        <v>302</v>
      </c>
      <c r="AA32" s="1"/>
      <c r="AB32" s="1" t="s">
        <v>242</v>
      </c>
      <c r="AC32" s="1"/>
      <c r="AD32" s="1"/>
      <c r="AE32" s="1"/>
      <c r="AF32" s="279"/>
      <c r="AG32" s="271"/>
      <c r="AI32" s="263">
        <f>(V33*X33*AK32*AB33)</f>
        <v>0</v>
      </c>
      <c r="AJ32" s="264" t="s">
        <v>126</v>
      </c>
      <c r="AK32" s="264">
        <v>1</v>
      </c>
    </row>
    <row r="33" spans="2:39">
      <c r="B33" s="269"/>
      <c r="Q33" s="271"/>
      <c r="R33" s="269"/>
      <c r="T33" s="3" t="s">
        <v>6</v>
      </c>
      <c r="U33" s="241" t="s">
        <v>1</v>
      </c>
      <c r="V33" s="225"/>
      <c r="W33" s="241" t="s">
        <v>2</v>
      </c>
      <c r="X33" s="225"/>
      <c r="Y33" s="241" t="s">
        <v>2</v>
      </c>
      <c r="Z33" s="241" t="s">
        <v>126</v>
      </c>
      <c r="AA33" s="241" t="s">
        <v>2</v>
      </c>
      <c r="AB33" s="488">
        <v>1</v>
      </c>
      <c r="AD33" s="226"/>
      <c r="AE33" s="241" t="s">
        <v>1</v>
      </c>
      <c r="AF33" s="282">
        <f>IF(AI33&gt;0,AI33,0)</f>
        <v>0</v>
      </c>
      <c r="AG33" s="271"/>
      <c r="AI33" s="284">
        <f>IF(Z33="SI",AI31,AI32)</f>
        <v>0</v>
      </c>
    </row>
    <row r="34" spans="2:39">
      <c r="B34" s="269"/>
      <c r="Q34" s="271"/>
      <c r="R34" s="269"/>
      <c r="T34" s="285"/>
      <c r="AF34" s="286"/>
      <c r="AG34" s="271"/>
    </row>
    <row r="35" spans="2:39">
      <c r="B35" s="269"/>
      <c r="Q35" s="271"/>
      <c r="R35" s="269"/>
      <c r="T35" s="292"/>
      <c r="U35" s="293"/>
      <c r="V35" s="293"/>
      <c r="W35" s="293"/>
      <c r="X35" s="293"/>
      <c r="Y35" s="293"/>
      <c r="Z35" s="293"/>
      <c r="AA35" s="293"/>
      <c r="AB35" s="293"/>
      <c r="AC35" s="293"/>
      <c r="AD35" s="294" t="s">
        <v>21</v>
      </c>
      <c r="AE35" s="294"/>
      <c r="AF35" s="295">
        <f>AF29+AF33</f>
        <v>0</v>
      </c>
      <c r="AG35" s="271"/>
    </row>
    <row r="36" spans="2:39">
      <c r="B36" s="269"/>
      <c r="Q36" s="271"/>
      <c r="R36" s="269"/>
      <c r="AG36" s="271"/>
    </row>
    <row r="37" spans="2:39">
      <c r="B37" s="269"/>
      <c r="Q37" s="271"/>
      <c r="R37" s="269"/>
      <c r="T37" s="551" t="s">
        <v>480</v>
      </c>
      <c r="U37" s="552"/>
      <c r="V37" s="552"/>
      <c r="W37" s="552"/>
      <c r="X37" s="552"/>
      <c r="Y37" s="552"/>
      <c r="Z37" s="552"/>
      <c r="AD37" s="270" t="s">
        <v>243</v>
      </c>
      <c r="AE37" s="270"/>
      <c r="AF37" s="296">
        <f>AF35+AF25+AF15</f>
        <v>0</v>
      </c>
      <c r="AG37" s="271"/>
    </row>
    <row r="38" spans="2:39" ht="13.5" thickBot="1">
      <c r="B38" s="297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9"/>
      <c r="R38" s="297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9"/>
    </row>
    <row r="39" spans="2:39" ht="12.75" customHeight="1">
      <c r="B39" s="724" t="s">
        <v>607</v>
      </c>
      <c r="C39" s="725"/>
      <c r="D39" s="725"/>
      <c r="E39" s="725"/>
      <c r="F39" s="725"/>
      <c r="G39" s="725"/>
      <c r="H39" s="725"/>
      <c r="I39" s="725"/>
      <c r="J39" s="725"/>
      <c r="K39" s="725"/>
      <c r="L39" s="725"/>
      <c r="M39" s="725"/>
      <c r="N39" s="725"/>
      <c r="O39" s="725"/>
      <c r="P39" s="725"/>
      <c r="Q39" s="726"/>
      <c r="R39" s="688" t="s">
        <v>608</v>
      </c>
      <c r="S39" s="689"/>
      <c r="T39" s="689"/>
      <c r="U39" s="689"/>
      <c r="V39" s="689"/>
      <c r="W39" s="689"/>
      <c r="X39" s="689"/>
      <c r="Y39" s="689"/>
      <c r="Z39" s="689"/>
      <c r="AA39" s="689"/>
      <c r="AB39" s="689"/>
      <c r="AC39" s="689"/>
      <c r="AD39" s="689"/>
      <c r="AE39" s="689"/>
      <c r="AF39" s="690"/>
      <c r="AG39" s="694" t="s">
        <v>551</v>
      </c>
    </row>
    <row r="40" spans="2:39" ht="12.75" customHeight="1">
      <c r="B40" s="727"/>
      <c r="C40" s="728"/>
      <c r="D40" s="728"/>
      <c r="E40" s="728"/>
      <c r="F40" s="728"/>
      <c r="G40" s="728"/>
      <c r="H40" s="728"/>
      <c r="I40" s="728"/>
      <c r="J40" s="728"/>
      <c r="K40" s="728"/>
      <c r="L40" s="728"/>
      <c r="M40" s="728"/>
      <c r="N40" s="728"/>
      <c r="O40" s="728"/>
      <c r="P40" s="728"/>
      <c r="Q40" s="729"/>
      <c r="R40" s="691"/>
      <c r="S40" s="692"/>
      <c r="T40" s="692"/>
      <c r="U40" s="692"/>
      <c r="V40" s="692"/>
      <c r="W40" s="692"/>
      <c r="X40" s="692"/>
      <c r="Y40" s="692"/>
      <c r="Z40" s="692"/>
      <c r="AA40" s="692"/>
      <c r="AB40" s="692"/>
      <c r="AC40" s="692"/>
      <c r="AD40" s="692"/>
      <c r="AE40" s="692"/>
      <c r="AF40" s="693"/>
      <c r="AG40" s="695"/>
    </row>
    <row r="41" spans="2:39" ht="12.75" customHeight="1">
      <c r="B41" s="691" t="s">
        <v>19</v>
      </c>
      <c r="C41" s="692"/>
      <c r="D41" s="692"/>
      <c r="E41" s="692"/>
      <c r="F41" s="692"/>
      <c r="G41" s="692"/>
      <c r="H41" s="692"/>
      <c r="I41" s="692"/>
      <c r="J41" s="692"/>
      <c r="K41" s="692"/>
      <c r="L41" s="692"/>
      <c r="M41" s="692"/>
      <c r="N41" s="692"/>
      <c r="O41" s="692"/>
      <c r="P41" s="692"/>
      <c r="Q41" s="693"/>
      <c r="R41" s="697" t="s">
        <v>19</v>
      </c>
      <c r="S41" s="698"/>
      <c r="T41" s="698"/>
      <c r="U41" s="698"/>
      <c r="V41" s="698"/>
      <c r="W41" s="698"/>
      <c r="X41" s="698"/>
      <c r="Y41" s="698"/>
      <c r="Z41" s="698"/>
      <c r="AA41" s="698"/>
      <c r="AB41" s="698"/>
      <c r="AC41" s="698"/>
      <c r="AD41" s="698"/>
      <c r="AE41" s="698"/>
      <c r="AF41" s="699"/>
      <c r="AG41" s="695"/>
    </row>
    <row r="42" spans="2:39" ht="13.5" customHeight="1" thickBot="1">
      <c r="B42" s="691"/>
      <c r="C42" s="692"/>
      <c r="D42" s="692"/>
      <c r="E42" s="692"/>
      <c r="F42" s="692"/>
      <c r="G42" s="692"/>
      <c r="H42" s="692"/>
      <c r="I42" s="692"/>
      <c r="J42" s="692"/>
      <c r="K42" s="692"/>
      <c r="L42" s="692"/>
      <c r="M42" s="692"/>
      <c r="N42" s="692"/>
      <c r="O42" s="692"/>
      <c r="P42" s="692"/>
      <c r="Q42" s="693"/>
      <c r="R42" s="700"/>
      <c r="S42" s="701"/>
      <c r="T42" s="701"/>
      <c r="U42" s="701"/>
      <c r="V42" s="701"/>
      <c r="W42" s="701"/>
      <c r="X42" s="701"/>
      <c r="Y42" s="701"/>
      <c r="Z42" s="701"/>
      <c r="AA42" s="701"/>
      <c r="AB42" s="701"/>
      <c r="AC42" s="701"/>
      <c r="AD42" s="701"/>
      <c r="AE42" s="701"/>
      <c r="AF42" s="702"/>
      <c r="AG42" s="696"/>
    </row>
    <row r="43" spans="2:39">
      <c r="B43" s="266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8"/>
      <c r="R43" s="266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8"/>
    </row>
    <row r="44" spans="2:39" ht="14.25">
      <c r="B44" s="269"/>
      <c r="G44" s="270"/>
      <c r="I44" s="270"/>
      <c r="K44" s="270"/>
      <c r="M44" s="270"/>
      <c r="Q44" s="271"/>
      <c r="R44" s="269"/>
      <c r="T44" s="300"/>
      <c r="U44" s="301"/>
      <c r="V44" s="274" t="s">
        <v>425</v>
      </c>
      <c r="W44" s="274"/>
      <c r="X44" s="274" t="s">
        <v>13</v>
      </c>
      <c r="Y44" s="274"/>
      <c r="Z44" s="274" t="s">
        <v>14</v>
      </c>
      <c r="AA44" s="274"/>
      <c r="AB44" s="274" t="s">
        <v>15</v>
      </c>
      <c r="AC44" s="274"/>
      <c r="AD44" s="274"/>
      <c r="AE44" s="301"/>
      <c r="AF44" s="302"/>
      <c r="AG44" s="271"/>
      <c r="AI44" s="263">
        <f>(V46*X46*Z46*AK44)</f>
        <v>0</v>
      </c>
      <c r="AJ44" s="264" t="s">
        <v>129</v>
      </c>
      <c r="AK44" s="264">
        <v>0.65</v>
      </c>
      <c r="AL44" s="264" t="s">
        <v>244</v>
      </c>
      <c r="AM44" s="264" t="s">
        <v>245</v>
      </c>
    </row>
    <row r="45" spans="2:39">
      <c r="B45" s="269"/>
      <c r="F45" s="1" t="s">
        <v>3</v>
      </c>
      <c r="G45" s="1"/>
      <c r="H45" s="1" t="s">
        <v>4</v>
      </c>
      <c r="I45" s="1"/>
      <c r="J45" s="1"/>
      <c r="K45" s="1"/>
      <c r="L45" s="1" t="s">
        <v>300</v>
      </c>
      <c r="M45" s="1"/>
      <c r="N45" s="1"/>
      <c r="Q45" s="271"/>
      <c r="R45" s="269"/>
      <c r="T45" s="285"/>
      <c r="V45" s="1" t="s">
        <v>3</v>
      </c>
      <c r="W45" s="1"/>
      <c r="X45" s="1" t="s">
        <v>4</v>
      </c>
      <c r="Y45" s="1"/>
      <c r="Z45" s="1"/>
      <c r="AA45" s="1"/>
      <c r="AB45" s="1" t="s">
        <v>302</v>
      </c>
      <c r="AC45" s="1"/>
      <c r="AD45" s="1"/>
      <c r="AF45" s="286"/>
      <c r="AG45" s="271"/>
      <c r="AI45" s="263">
        <f>(V46*X46*Z46*AK45)</f>
        <v>0</v>
      </c>
      <c r="AJ45" s="264" t="s">
        <v>126</v>
      </c>
      <c r="AK45" s="264">
        <v>1</v>
      </c>
      <c r="AM45" s="264">
        <v>0.5</v>
      </c>
    </row>
    <row r="46" spans="2:39" ht="15">
      <c r="B46" s="269"/>
      <c r="D46" s="270" t="s">
        <v>11</v>
      </c>
      <c r="E46" s="241" t="s">
        <v>1</v>
      </c>
      <c r="F46" s="270" t="s">
        <v>423</v>
      </c>
      <c r="G46" s="241" t="s">
        <v>2</v>
      </c>
      <c r="H46" s="270" t="s">
        <v>249</v>
      </c>
      <c r="I46" s="241" t="s">
        <v>2</v>
      </c>
      <c r="J46" s="270" t="s">
        <v>250</v>
      </c>
      <c r="K46" s="241" t="s">
        <v>2</v>
      </c>
      <c r="L46" s="270" t="s">
        <v>251</v>
      </c>
      <c r="N46" s="270"/>
      <c r="P46" s="281"/>
      <c r="Q46" s="271"/>
      <c r="R46" s="269"/>
      <c r="T46" s="3" t="s">
        <v>11</v>
      </c>
      <c r="U46" s="241" t="s">
        <v>1</v>
      </c>
      <c r="V46" s="225"/>
      <c r="W46" s="241" t="s">
        <v>2</v>
      </c>
      <c r="X46" s="225">
        <v>4.7699999999999996</v>
      </c>
      <c r="Y46" s="241" t="s">
        <v>2</v>
      </c>
      <c r="Z46" s="225">
        <v>1</v>
      </c>
      <c r="AA46" s="241" t="s">
        <v>2</v>
      </c>
      <c r="AB46" s="241" t="s">
        <v>126</v>
      </c>
      <c r="AD46" s="226"/>
      <c r="AE46" s="241" t="s">
        <v>1</v>
      </c>
      <c r="AF46" s="282">
        <f>IF(AI46&gt;0,AI46,0)</f>
        <v>0</v>
      </c>
      <c r="AG46" s="271"/>
      <c r="AI46" s="284">
        <f>IF(AB46="SI",AI44,AI45)</f>
        <v>0</v>
      </c>
      <c r="AL46" s="264">
        <v>1</v>
      </c>
      <c r="AM46" s="264">
        <v>1</v>
      </c>
    </row>
    <row r="47" spans="2:39">
      <c r="B47" s="269"/>
      <c r="Q47" s="271"/>
      <c r="R47" s="269"/>
      <c r="T47" s="285"/>
      <c r="AF47" s="286"/>
      <c r="AG47" s="271"/>
      <c r="AL47" s="264">
        <v>1.5</v>
      </c>
      <c r="AM47" s="264">
        <v>1.5</v>
      </c>
    </row>
    <row r="48" spans="2:39" ht="14.25">
      <c r="B48" s="269"/>
      <c r="G48" s="270"/>
      <c r="I48" s="270"/>
      <c r="K48" s="270"/>
      <c r="M48" s="270"/>
      <c r="Q48" s="271"/>
      <c r="R48" s="269"/>
      <c r="T48" s="285"/>
      <c r="V48" s="288" t="s">
        <v>425</v>
      </c>
      <c r="W48" s="288"/>
      <c r="X48" s="288" t="s">
        <v>16</v>
      </c>
      <c r="Y48" s="288"/>
      <c r="Z48" s="288" t="s">
        <v>17</v>
      </c>
      <c r="AA48" s="288"/>
      <c r="AB48" s="288" t="s">
        <v>15</v>
      </c>
      <c r="AC48" s="288"/>
      <c r="AD48" s="288"/>
      <c r="AF48" s="286"/>
      <c r="AG48" s="271"/>
      <c r="AI48" s="263">
        <f>(V50*X50*Z50*AK44)</f>
        <v>0</v>
      </c>
    </row>
    <row r="49" spans="2:39">
      <c r="B49" s="269"/>
      <c r="F49" s="1" t="s">
        <v>3</v>
      </c>
      <c r="G49" s="1"/>
      <c r="H49" s="1" t="s">
        <v>4</v>
      </c>
      <c r="I49" s="1"/>
      <c r="J49" s="1"/>
      <c r="K49" s="1"/>
      <c r="L49" s="1" t="s">
        <v>300</v>
      </c>
      <c r="M49" s="1"/>
      <c r="N49" s="1"/>
      <c r="Q49" s="271"/>
      <c r="R49" s="269"/>
      <c r="T49" s="285"/>
      <c r="V49" s="1" t="s">
        <v>3</v>
      </c>
      <c r="W49" s="1"/>
      <c r="X49" s="1" t="s">
        <v>4</v>
      </c>
      <c r="Y49" s="1"/>
      <c r="Z49" s="1"/>
      <c r="AA49" s="1"/>
      <c r="AB49" s="1" t="s">
        <v>302</v>
      </c>
      <c r="AC49" s="1"/>
      <c r="AD49" s="1"/>
      <c r="AF49" s="286"/>
      <c r="AG49" s="271"/>
      <c r="AI49" s="263">
        <f>(V50*X50*Z50*AK45)</f>
        <v>0</v>
      </c>
    </row>
    <row r="50" spans="2:39" ht="15">
      <c r="B50" s="269"/>
      <c r="D50" s="270" t="s">
        <v>12</v>
      </c>
      <c r="E50" s="241" t="s">
        <v>1</v>
      </c>
      <c r="F50" s="270" t="s">
        <v>423</v>
      </c>
      <c r="G50" s="241" t="s">
        <v>2</v>
      </c>
      <c r="H50" s="270" t="s">
        <v>252</v>
      </c>
      <c r="I50" s="241" t="s">
        <v>2</v>
      </c>
      <c r="J50" s="270" t="s">
        <v>253</v>
      </c>
      <c r="K50" s="241" t="s">
        <v>2</v>
      </c>
      <c r="L50" s="270" t="s">
        <v>251</v>
      </c>
      <c r="N50" s="270"/>
      <c r="P50" s="281"/>
      <c r="Q50" s="271"/>
      <c r="R50" s="269"/>
      <c r="T50" s="3" t="s">
        <v>12</v>
      </c>
      <c r="U50" s="241" t="s">
        <v>1</v>
      </c>
      <c r="V50" s="225"/>
      <c r="W50" s="241" t="s">
        <v>2</v>
      </c>
      <c r="X50" s="225">
        <v>3.57</v>
      </c>
      <c r="Y50" s="241" t="s">
        <v>2</v>
      </c>
      <c r="Z50" s="225">
        <v>1.5</v>
      </c>
      <c r="AA50" s="241" t="s">
        <v>2</v>
      </c>
      <c r="AB50" s="241" t="s">
        <v>126</v>
      </c>
      <c r="AD50" s="226"/>
      <c r="AE50" s="241" t="s">
        <v>1</v>
      </c>
      <c r="AF50" s="282">
        <f>IF(AI50&gt;0,AI50,0)</f>
        <v>0</v>
      </c>
      <c r="AG50" s="271"/>
      <c r="AI50" s="284">
        <f>IF(AB50="SI",AI48,AI49)</f>
        <v>0</v>
      </c>
    </row>
    <row r="51" spans="2:39">
      <c r="B51" s="269"/>
      <c r="Q51" s="271"/>
      <c r="R51" s="269"/>
      <c r="T51" s="285"/>
      <c r="AF51" s="286"/>
      <c r="AG51" s="271"/>
    </row>
    <row r="52" spans="2:39">
      <c r="B52" s="269"/>
      <c r="Q52" s="271"/>
      <c r="R52" s="269"/>
      <c r="T52" s="292"/>
      <c r="U52" s="293"/>
      <c r="V52" s="293"/>
      <c r="W52" s="293"/>
      <c r="X52" s="293"/>
      <c r="Y52" s="293"/>
      <c r="Z52" s="293"/>
      <c r="AA52" s="293"/>
      <c r="AB52" s="293"/>
      <c r="AC52" s="293"/>
      <c r="AD52" s="294"/>
      <c r="AE52" s="294"/>
      <c r="AF52" s="295">
        <f>AF46+AF50</f>
        <v>0</v>
      </c>
      <c r="AG52" s="271"/>
    </row>
    <row r="53" spans="2:39">
      <c r="B53" s="269"/>
      <c r="Q53" s="271"/>
      <c r="R53" s="269"/>
      <c r="AG53" s="271"/>
    </row>
    <row r="54" spans="2:39" ht="14.25">
      <c r="B54" s="269"/>
      <c r="Q54" s="271"/>
      <c r="R54" s="269"/>
      <c r="T54" s="300"/>
      <c r="U54" s="301"/>
      <c r="V54" s="274" t="s">
        <v>425</v>
      </c>
      <c r="W54" s="274"/>
      <c r="X54" s="274" t="s">
        <v>13</v>
      </c>
      <c r="Y54" s="274"/>
      <c r="Z54" s="274" t="s">
        <v>14</v>
      </c>
      <c r="AA54" s="274"/>
      <c r="AB54" s="274" t="s">
        <v>15</v>
      </c>
      <c r="AC54" s="274"/>
      <c r="AD54" s="274"/>
      <c r="AE54" s="301"/>
      <c r="AF54" s="302"/>
      <c r="AG54" s="271"/>
      <c r="AI54" s="263">
        <f>(V56*X56*Z56*AK54)</f>
        <v>0</v>
      </c>
      <c r="AJ54" s="264" t="s">
        <v>129</v>
      </c>
      <c r="AK54" s="264">
        <v>0.65</v>
      </c>
      <c r="AL54" s="264" t="s">
        <v>244</v>
      </c>
      <c r="AM54" s="264" t="s">
        <v>245</v>
      </c>
    </row>
    <row r="55" spans="2:39">
      <c r="B55" s="269"/>
      <c r="Q55" s="271"/>
      <c r="R55" s="269"/>
      <c r="T55" s="285"/>
      <c r="V55" s="1" t="s">
        <v>3</v>
      </c>
      <c r="W55" s="1"/>
      <c r="X55" s="1" t="s">
        <v>4</v>
      </c>
      <c r="Y55" s="1"/>
      <c r="Z55" s="1"/>
      <c r="AA55" s="1"/>
      <c r="AB55" s="1" t="s">
        <v>302</v>
      </c>
      <c r="AC55" s="1"/>
      <c r="AD55" s="1"/>
      <c r="AF55" s="286"/>
      <c r="AG55" s="271"/>
      <c r="AI55" s="263">
        <f>(V56*X56*Z56*AK55)</f>
        <v>0</v>
      </c>
      <c r="AJ55" s="264" t="s">
        <v>126</v>
      </c>
      <c r="AK55" s="264">
        <v>1</v>
      </c>
      <c r="AM55" s="264">
        <v>0.5</v>
      </c>
    </row>
    <row r="56" spans="2:39">
      <c r="B56" s="269"/>
      <c r="Q56" s="271"/>
      <c r="R56" s="269"/>
      <c r="T56" s="3" t="s">
        <v>11</v>
      </c>
      <c r="U56" s="241" t="s">
        <v>1</v>
      </c>
      <c r="V56" s="225"/>
      <c r="W56" s="241" t="s">
        <v>2</v>
      </c>
      <c r="X56" s="225"/>
      <c r="Y56" s="241" t="s">
        <v>2</v>
      </c>
      <c r="Z56" s="225">
        <v>1</v>
      </c>
      <c r="AA56" s="241" t="s">
        <v>2</v>
      </c>
      <c r="AB56" s="241" t="s">
        <v>126</v>
      </c>
      <c r="AD56" s="226"/>
      <c r="AE56" s="241" t="s">
        <v>1</v>
      </c>
      <c r="AF56" s="282">
        <f>IF(AI56&gt;0,AI56,0)</f>
        <v>0</v>
      </c>
      <c r="AG56" s="271"/>
      <c r="AI56" s="284">
        <f>IF(AB56="SI",AI54,AI55)</f>
        <v>0</v>
      </c>
      <c r="AL56" s="264">
        <v>1</v>
      </c>
      <c r="AM56" s="264">
        <v>1</v>
      </c>
    </row>
    <row r="57" spans="2:39">
      <c r="B57" s="269"/>
      <c r="Q57" s="271"/>
      <c r="R57" s="269"/>
      <c r="T57" s="285"/>
      <c r="AF57" s="286"/>
      <c r="AG57" s="271"/>
      <c r="AL57" s="264">
        <v>1.5</v>
      </c>
      <c r="AM57" s="264">
        <v>1.5</v>
      </c>
    </row>
    <row r="58" spans="2:39" ht="14.25">
      <c r="B58" s="269"/>
      <c r="Q58" s="271"/>
      <c r="R58" s="269"/>
      <c r="T58" s="285"/>
      <c r="V58" s="288" t="s">
        <v>425</v>
      </c>
      <c r="W58" s="288"/>
      <c r="X58" s="288" t="s">
        <v>16</v>
      </c>
      <c r="Y58" s="288"/>
      <c r="Z58" s="288" t="s">
        <v>17</v>
      </c>
      <c r="AA58" s="288"/>
      <c r="AB58" s="288" t="s">
        <v>15</v>
      </c>
      <c r="AC58" s="288"/>
      <c r="AD58" s="288"/>
      <c r="AF58" s="286"/>
      <c r="AG58" s="271"/>
      <c r="AI58" s="263">
        <f>(V60*X60*Z60*AK54)</f>
        <v>0</v>
      </c>
    </row>
    <row r="59" spans="2:39">
      <c r="B59" s="269"/>
      <c r="Q59" s="271"/>
      <c r="R59" s="269"/>
      <c r="T59" s="285"/>
      <c r="V59" s="1" t="s">
        <v>3</v>
      </c>
      <c r="W59" s="1"/>
      <c r="X59" s="1" t="s">
        <v>4</v>
      </c>
      <c r="Y59" s="1"/>
      <c r="Z59" s="1"/>
      <c r="AA59" s="1"/>
      <c r="AB59" s="1" t="s">
        <v>302</v>
      </c>
      <c r="AC59" s="1"/>
      <c r="AD59" s="1"/>
      <c r="AF59" s="286"/>
      <c r="AG59" s="271"/>
      <c r="AI59" s="263">
        <f>(V60*X60*Z60*AK55)</f>
        <v>0</v>
      </c>
    </row>
    <row r="60" spans="2:39">
      <c r="B60" s="269"/>
      <c r="Q60" s="271"/>
      <c r="R60" s="269"/>
      <c r="T60" s="3" t="s">
        <v>12</v>
      </c>
      <c r="U60" s="241" t="s">
        <v>1</v>
      </c>
      <c r="V60" s="225"/>
      <c r="W60" s="241" t="s">
        <v>2</v>
      </c>
      <c r="X60" s="225"/>
      <c r="Y60" s="241" t="s">
        <v>2</v>
      </c>
      <c r="Z60" s="225">
        <v>1.5</v>
      </c>
      <c r="AA60" s="241" t="s">
        <v>2</v>
      </c>
      <c r="AB60" s="241" t="s">
        <v>126</v>
      </c>
      <c r="AD60" s="226"/>
      <c r="AE60" s="241" t="s">
        <v>1</v>
      </c>
      <c r="AF60" s="282">
        <f>IF(AI60&gt;0,AI60,0)</f>
        <v>0</v>
      </c>
      <c r="AG60" s="271"/>
      <c r="AI60" s="284">
        <f>IF(AB60="SI",AI58,AI59)</f>
        <v>0</v>
      </c>
    </row>
    <row r="61" spans="2:39">
      <c r="B61" s="269"/>
      <c r="Q61" s="271"/>
      <c r="R61" s="269"/>
      <c r="T61" s="285"/>
      <c r="AF61" s="286"/>
      <c r="AG61" s="271"/>
    </row>
    <row r="62" spans="2:39">
      <c r="B62" s="269"/>
      <c r="Q62" s="271"/>
      <c r="R62" s="269"/>
      <c r="T62" s="292"/>
      <c r="U62" s="293"/>
      <c r="V62" s="293"/>
      <c r="W62" s="293"/>
      <c r="X62" s="293"/>
      <c r="Y62" s="293"/>
      <c r="Z62" s="293"/>
      <c r="AA62" s="293"/>
      <c r="AB62" s="293"/>
      <c r="AC62" s="293"/>
      <c r="AD62" s="294"/>
      <c r="AE62" s="294"/>
      <c r="AF62" s="295">
        <f>AF56+AF60</f>
        <v>0</v>
      </c>
      <c r="AG62" s="271"/>
    </row>
    <row r="63" spans="2:39">
      <c r="B63" s="269"/>
      <c r="Q63" s="271"/>
      <c r="R63" s="269"/>
      <c r="AG63" s="271"/>
    </row>
    <row r="64" spans="2:39" ht="14.25">
      <c r="B64" s="269"/>
      <c r="Q64" s="271"/>
      <c r="R64" s="269"/>
      <c r="T64" s="300"/>
      <c r="U64" s="301"/>
      <c r="V64" s="274" t="s">
        <v>425</v>
      </c>
      <c r="W64" s="274"/>
      <c r="X64" s="274" t="s">
        <v>13</v>
      </c>
      <c r="Y64" s="274"/>
      <c r="Z64" s="274" t="s">
        <v>14</v>
      </c>
      <c r="AA64" s="274"/>
      <c r="AB64" s="274" t="s">
        <v>15</v>
      </c>
      <c r="AC64" s="274"/>
      <c r="AD64" s="274"/>
      <c r="AE64" s="301"/>
      <c r="AF64" s="302"/>
      <c r="AG64" s="271"/>
      <c r="AI64" s="263">
        <f>(V66*X66*Z66*AK64)</f>
        <v>0</v>
      </c>
      <c r="AJ64" s="264" t="s">
        <v>129</v>
      </c>
      <c r="AK64" s="264">
        <v>0.65</v>
      </c>
      <c r="AL64" s="264" t="s">
        <v>244</v>
      </c>
      <c r="AM64" s="264" t="s">
        <v>245</v>
      </c>
    </row>
    <row r="65" spans="2:39">
      <c r="B65" s="269"/>
      <c r="Q65" s="271"/>
      <c r="R65" s="269"/>
      <c r="T65" s="285"/>
      <c r="V65" s="1" t="s">
        <v>3</v>
      </c>
      <c r="W65" s="1"/>
      <c r="X65" s="1" t="s">
        <v>4</v>
      </c>
      <c r="Y65" s="1"/>
      <c r="Z65" s="1"/>
      <c r="AA65" s="1"/>
      <c r="AB65" s="1" t="s">
        <v>302</v>
      </c>
      <c r="AC65" s="1"/>
      <c r="AD65" s="1"/>
      <c r="AF65" s="286"/>
      <c r="AG65" s="271"/>
      <c r="AI65" s="263">
        <f>(V66*X66*Z66*AK65)</f>
        <v>0</v>
      </c>
      <c r="AJ65" s="264" t="s">
        <v>126</v>
      </c>
      <c r="AK65" s="264">
        <v>1</v>
      </c>
      <c r="AM65" s="264">
        <v>0.5</v>
      </c>
    </row>
    <row r="66" spans="2:39">
      <c r="B66" s="269"/>
      <c r="Q66" s="271"/>
      <c r="R66" s="269"/>
      <c r="T66" s="3" t="s">
        <v>11</v>
      </c>
      <c r="U66" s="241" t="s">
        <v>1</v>
      </c>
      <c r="V66" s="225"/>
      <c r="W66" s="241" t="s">
        <v>2</v>
      </c>
      <c r="X66" s="225"/>
      <c r="Y66" s="241" t="s">
        <v>2</v>
      </c>
      <c r="Z66" s="225">
        <v>1</v>
      </c>
      <c r="AA66" s="241" t="s">
        <v>2</v>
      </c>
      <c r="AB66" s="241" t="s">
        <v>126</v>
      </c>
      <c r="AD66" s="226"/>
      <c r="AE66" s="241" t="s">
        <v>1</v>
      </c>
      <c r="AF66" s="282">
        <f>IF(AI66&gt;0,AI66,0)</f>
        <v>0</v>
      </c>
      <c r="AG66" s="271"/>
      <c r="AI66" s="284">
        <f>IF(AB66="SI",AI64,AI65)</f>
        <v>0</v>
      </c>
      <c r="AL66" s="264">
        <v>1</v>
      </c>
      <c r="AM66" s="264">
        <v>1</v>
      </c>
    </row>
    <row r="67" spans="2:39">
      <c r="B67" s="269"/>
      <c r="Q67" s="271"/>
      <c r="R67" s="269"/>
      <c r="T67" s="285"/>
      <c r="AF67" s="286"/>
      <c r="AG67" s="271"/>
      <c r="AL67" s="264">
        <v>1.5</v>
      </c>
      <c r="AM67" s="264">
        <v>1.5</v>
      </c>
    </row>
    <row r="68" spans="2:39" ht="14.25">
      <c r="B68" s="269"/>
      <c r="Q68" s="271"/>
      <c r="R68" s="269"/>
      <c r="T68" s="285"/>
      <c r="V68" s="288" t="s">
        <v>425</v>
      </c>
      <c r="W68" s="288"/>
      <c r="X68" s="288" t="s">
        <v>16</v>
      </c>
      <c r="Y68" s="288"/>
      <c r="Z68" s="288" t="s">
        <v>17</v>
      </c>
      <c r="AA68" s="288"/>
      <c r="AB68" s="288" t="s">
        <v>15</v>
      </c>
      <c r="AC68" s="288"/>
      <c r="AD68" s="288"/>
      <c r="AF68" s="286"/>
      <c r="AG68" s="271"/>
      <c r="AI68" s="263">
        <f>(V70*X70*Z70*AK64)</f>
        <v>0</v>
      </c>
    </row>
    <row r="69" spans="2:39">
      <c r="B69" s="269"/>
      <c r="Q69" s="271"/>
      <c r="R69" s="269"/>
      <c r="T69" s="285"/>
      <c r="V69" s="1" t="s">
        <v>3</v>
      </c>
      <c r="W69" s="1"/>
      <c r="X69" s="1" t="s">
        <v>4</v>
      </c>
      <c r="Y69" s="1"/>
      <c r="Z69" s="1"/>
      <c r="AA69" s="1"/>
      <c r="AB69" s="1" t="s">
        <v>302</v>
      </c>
      <c r="AC69" s="1"/>
      <c r="AD69" s="1"/>
      <c r="AF69" s="286"/>
      <c r="AG69" s="271"/>
      <c r="AI69" s="263">
        <f>(V70*X70*Z70*AK65)</f>
        <v>0</v>
      </c>
    </row>
    <row r="70" spans="2:39">
      <c r="B70" s="269"/>
      <c r="Q70" s="271"/>
      <c r="R70" s="269"/>
      <c r="T70" s="3" t="s">
        <v>12</v>
      </c>
      <c r="U70" s="241" t="s">
        <v>1</v>
      </c>
      <c r="V70" s="225"/>
      <c r="W70" s="241" t="s">
        <v>2</v>
      </c>
      <c r="X70" s="225"/>
      <c r="Y70" s="241" t="s">
        <v>2</v>
      </c>
      <c r="Z70" s="225">
        <v>1.5</v>
      </c>
      <c r="AA70" s="241" t="s">
        <v>2</v>
      </c>
      <c r="AB70" s="241" t="s">
        <v>126</v>
      </c>
      <c r="AD70" s="226"/>
      <c r="AE70" s="241" t="s">
        <v>1</v>
      </c>
      <c r="AF70" s="282">
        <f>IF(AI70&gt;0,AI70,0)</f>
        <v>0</v>
      </c>
      <c r="AG70" s="271"/>
      <c r="AI70" s="284">
        <f>IF(AB70="SI",AI68,AI69)</f>
        <v>0</v>
      </c>
    </row>
    <row r="71" spans="2:39">
      <c r="B71" s="269"/>
      <c r="Q71" s="271"/>
      <c r="R71" s="269"/>
      <c r="T71" s="285"/>
      <c r="AF71" s="286"/>
      <c r="AG71" s="271"/>
    </row>
    <row r="72" spans="2:39">
      <c r="B72" s="269"/>
      <c r="Q72" s="271"/>
      <c r="R72" s="269"/>
      <c r="T72" s="292"/>
      <c r="U72" s="293"/>
      <c r="V72" s="293"/>
      <c r="W72" s="293"/>
      <c r="X72" s="293"/>
      <c r="Y72" s="293"/>
      <c r="Z72" s="293"/>
      <c r="AA72" s="293"/>
      <c r="AB72" s="293"/>
      <c r="AC72" s="293"/>
      <c r="AD72" s="294" t="s">
        <v>21</v>
      </c>
      <c r="AE72" s="294"/>
      <c r="AF72" s="295">
        <f>AF66+AF70</f>
        <v>0</v>
      </c>
      <c r="AG72" s="271"/>
    </row>
    <row r="73" spans="2:39">
      <c r="B73" s="269"/>
      <c r="Q73" s="271"/>
      <c r="R73" s="269"/>
      <c r="AG73" s="271"/>
    </row>
    <row r="74" spans="2:39">
      <c r="B74" s="269"/>
      <c r="Q74" s="271"/>
      <c r="R74" s="269"/>
      <c r="T74" s="551" t="s">
        <v>480</v>
      </c>
      <c r="U74" s="552"/>
      <c r="V74" s="552"/>
      <c r="W74" s="552"/>
      <c r="X74" s="552"/>
      <c r="Y74" s="552"/>
      <c r="Z74" s="552"/>
      <c r="AD74" s="270" t="s">
        <v>292</v>
      </c>
      <c r="AE74" s="270"/>
      <c r="AF74" s="296">
        <f>AF72+AF62+AF52</f>
        <v>0</v>
      </c>
      <c r="AG74" s="271"/>
    </row>
    <row r="75" spans="2:39" ht="13.5" thickBot="1">
      <c r="B75" s="297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9"/>
      <c r="R75" s="297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9"/>
    </row>
    <row r="76" spans="2:39" ht="14.1" customHeight="1">
      <c r="B76" s="734" t="s">
        <v>607</v>
      </c>
      <c r="C76" s="735"/>
      <c r="D76" s="735"/>
      <c r="E76" s="735"/>
      <c r="F76" s="735"/>
      <c r="G76" s="735"/>
      <c r="H76" s="735"/>
      <c r="I76" s="735"/>
      <c r="J76" s="735"/>
      <c r="K76" s="735"/>
      <c r="L76" s="735"/>
      <c r="M76" s="735"/>
      <c r="N76" s="735"/>
      <c r="O76" s="735"/>
      <c r="P76" s="735"/>
      <c r="Q76" s="736"/>
      <c r="R76" s="709" t="s">
        <v>608</v>
      </c>
      <c r="S76" s="710"/>
      <c r="T76" s="710"/>
      <c r="U76" s="710"/>
      <c r="V76" s="710"/>
      <c r="W76" s="710"/>
      <c r="X76" s="710"/>
      <c r="Y76" s="710"/>
      <c r="Z76" s="710"/>
      <c r="AA76" s="710"/>
      <c r="AB76" s="710"/>
      <c r="AC76" s="710"/>
      <c r="AD76" s="710"/>
      <c r="AE76" s="710"/>
      <c r="AF76" s="711"/>
      <c r="AG76" s="642" t="s">
        <v>550</v>
      </c>
    </row>
    <row r="77" spans="2:39" ht="14.1" customHeight="1">
      <c r="B77" s="737"/>
      <c r="C77" s="738"/>
      <c r="D77" s="738"/>
      <c r="E77" s="738"/>
      <c r="F77" s="738"/>
      <c r="G77" s="738"/>
      <c r="H77" s="738"/>
      <c r="I77" s="738"/>
      <c r="J77" s="738"/>
      <c r="K77" s="738"/>
      <c r="L77" s="738"/>
      <c r="M77" s="738"/>
      <c r="N77" s="738"/>
      <c r="O77" s="738"/>
      <c r="P77" s="738"/>
      <c r="Q77" s="739"/>
      <c r="R77" s="712"/>
      <c r="S77" s="713"/>
      <c r="T77" s="713"/>
      <c r="U77" s="713"/>
      <c r="V77" s="713"/>
      <c r="W77" s="713"/>
      <c r="X77" s="713"/>
      <c r="Y77" s="713"/>
      <c r="Z77" s="713"/>
      <c r="AA77" s="713"/>
      <c r="AB77" s="713"/>
      <c r="AC77" s="713"/>
      <c r="AD77" s="713"/>
      <c r="AE77" s="713"/>
      <c r="AF77" s="714"/>
      <c r="AG77" s="643"/>
    </row>
    <row r="78" spans="2:39" ht="12.75" customHeight="1">
      <c r="B78" s="712" t="s">
        <v>22</v>
      </c>
      <c r="C78" s="713"/>
      <c r="D78" s="713"/>
      <c r="E78" s="713"/>
      <c r="F78" s="713"/>
      <c r="G78" s="713"/>
      <c r="H78" s="713"/>
      <c r="I78" s="713"/>
      <c r="J78" s="713"/>
      <c r="K78" s="713"/>
      <c r="L78" s="713"/>
      <c r="M78" s="713"/>
      <c r="N78" s="713"/>
      <c r="O78" s="713"/>
      <c r="P78" s="713"/>
      <c r="Q78" s="714"/>
      <c r="R78" s="715" t="s">
        <v>22</v>
      </c>
      <c r="S78" s="716"/>
      <c r="T78" s="716"/>
      <c r="U78" s="716"/>
      <c r="V78" s="716"/>
      <c r="W78" s="716"/>
      <c r="X78" s="716"/>
      <c r="Y78" s="716"/>
      <c r="Z78" s="716"/>
      <c r="AA78" s="716"/>
      <c r="AB78" s="716"/>
      <c r="AC78" s="716"/>
      <c r="AD78" s="716"/>
      <c r="AE78" s="716"/>
      <c r="AF78" s="717"/>
      <c r="AG78" s="643"/>
    </row>
    <row r="79" spans="2:39" ht="13.5" customHeight="1" thickBot="1">
      <c r="B79" s="712"/>
      <c r="C79" s="713"/>
      <c r="D79" s="713"/>
      <c r="E79" s="713"/>
      <c r="F79" s="713"/>
      <c r="G79" s="713"/>
      <c r="H79" s="713"/>
      <c r="I79" s="713"/>
      <c r="J79" s="713"/>
      <c r="K79" s="713"/>
      <c r="L79" s="713"/>
      <c r="M79" s="713"/>
      <c r="N79" s="713"/>
      <c r="O79" s="713"/>
      <c r="P79" s="713"/>
      <c r="Q79" s="714"/>
      <c r="R79" s="718"/>
      <c r="S79" s="719"/>
      <c r="T79" s="719"/>
      <c r="U79" s="719"/>
      <c r="V79" s="719"/>
      <c r="W79" s="719"/>
      <c r="X79" s="719"/>
      <c r="Y79" s="719"/>
      <c r="Z79" s="719"/>
      <c r="AA79" s="719"/>
      <c r="AB79" s="719"/>
      <c r="AC79" s="719"/>
      <c r="AD79" s="719"/>
      <c r="AE79" s="719"/>
      <c r="AF79" s="720"/>
      <c r="AG79" s="644"/>
    </row>
    <row r="80" spans="2:39">
      <c r="B80" s="266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8"/>
      <c r="R80" s="266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8"/>
    </row>
    <row r="81" spans="2:33">
      <c r="B81" s="269"/>
      <c r="G81" s="270"/>
      <c r="I81" s="270"/>
      <c r="K81" s="270"/>
      <c r="M81" s="270"/>
      <c r="Q81" s="271"/>
      <c r="R81" s="269"/>
      <c r="W81" s="270"/>
      <c r="Y81" s="270"/>
      <c r="AA81" s="270"/>
      <c r="AC81" s="270"/>
      <c r="AG81" s="271"/>
    </row>
    <row r="82" spans="2:33">
      <c r="B82" s="269"/>
      <c r="Q82" s="271"/>
      <c r="R82" s="269"/>
      <c r="V82" s="303" t="s">
        <v>299</v>
      </c>
      <c r="AG82" s="271"/>
    </row>
    <row r="83" spans="2:33" ht="14.25">
      <c r="B83" s="269"/>
      <c r="D83" s="270" t="s">
        <v>23</v>
      </c>
      <c r="F83" s="303" t="s">
        <v>231</v>
      </c>
      <c r="J83" s="303" t="s">
        <v>232</v>
      </c>
      <c r="P83" s="281"/>
      <c r="Q83" s="271"/>
      <c r="R83" s="269"/>
      <c r="V83" s="303"/>
      <c r="AG83" s="271"/>
    </row>
    <row r="84" spans="2:33">
      <c r="B84" s="269"/>
      <c r="Q84" s="271"/>
      <c r="R84" s="269"/>
      <c r="AD84" s="270"/>
      <c r="AF84" s="281"/>
      <c r="AG84" s="271"/>
    </row>
    <row r="85" spans="2:33" ht="14.25">
      <c r="B85" s="269"/>
      <c r="D85" s="270" t="s">
        <v>147</v>
      </c>
      <c r="F85" s="303" t="s">
        <v>233</v>
      </c>
      <c r="J85" s="303" t="s">
        <v>234</v>
      </c>
      <c r="Q85" s="271"/>
      <c r="R85" s="269"/>
      <c r="V85" s="270" t="s">
        <v>274</v>
      </c>
      <c r="X85" s="721">
        <f>'QCC (A)'!D72</f>
        <v>0</v>
      </c>
      <c r="Y85" s="722"/>
      <c r="Z85" s="722"/>
      <c r="AB85" s="262" t="s">
        <v>297</v>
      </c>
      <c r="AG85" s="271"/>
    </row>
    <row r="86" spans="2:33">
      <c r="B86" s="269"/>
      <c r="N86" s="270"/>
      <c r="Q86" s="271"/>
      <c r="R86" s="269"/>
      <c r="X86" s="721"/>
      <c r="Y86" s="722"/>
      <c r="Z86" s="722"/>
      <c r="AG86" s="271"/>
    </row>
    <row r="87" spans="2:33" ht="14.25">
      <c r="B87" s="269"/>
      <c r="D87" s="270" t="s">
        <v>219</v>
      </c>
      <c r="F87" s="303" t="s">
        <v>235</v>
      </c>
      <c r="J87" s="303" t="s">
        <v>236</v>
      </c>
      <c r="P87" s="281"/>
      <c r="Q87" s="271"/>
      <c r="R87" s="269"/>
      <c r="Z87" s="303"/>
      <c r="AG87" s="271"/>
    </row>
    <row r="88" spans="2:33">
      <c r="B88" s="269"/>
      <c r="Q88" s="271"/>
      <c r="R88" s="269"/>
      <c r="V88" s="270" t="s">
        <v>275</v>
      </c>
      <c r="X88" s="721">
        <f>'QCC (B)'!E40</f>
        <v>0</v>
      </c>
      <c r="Y88" s="722"/>
      <c r="Z88" s="722"/>
      <c r="AB88" s="262" t="s">
        <v>295</v>
      </c>
      <c r="AD88" s="270"/>
      <c r="AF88" s="281"/>
      <c r="AG88" s="271"/>
    </row>
    <row r="89" spans="2:33" ht="14.25">
      <c r="B89" s="269"/>
      <c r="D89" s="270" t="s">
        <v>230</v>
      </c>
      <c r="F89" s="303" t="s">
        <v>237</v>
      </c>
      <c r="J89" s="303" t="s">
        <v>238</v>
      </c>
      <c r="Q89" s="271"/>
      <c r="R89" s="269"/>
      <c r="Z89" s="303"/>
      <c r="AG89" s="271"/>
    </row>
    <row r="90" spans="2:33">
      <c r="B90" s="269"/>
      <c r="Q90" s="271"/>
      <c r="R90" s="269"/>
      <c r="AG90" s="271"/>
    </row>
    <row r="91" spans="2:33">
      <c r="B91" s="269"/>
      <c r="Q91" s="271"/>
      <c r="R91" s="269"/>
      <c r="V91" s="270" t="s">
        <v>277</v>
      </c>
      <c r="X91" s="721">
        <f>'QCC (C)'!E23</f>
        <v>0</v>
      </c>
      <c r="Y91" s="722"/>
      <c r="Z91" s="722"/>
      <c r="AB91" s="262" t="s">
        <v>298</v>
      </c>
      <c r="AG91" s="271"/>
    </row>
    <row r="92" spans="2:33">
      <c r="B92" s="269"/>
      <c r="Q92" s="271"/>
      <c r="R92" s="269"/>
      <c r="AG92" s="271"/>
    </row>
    <row r="93" spans="2:33">
      <c r="B93" s="269"/>
      <c r="Q93" s="271"/>
      <c r="R93" s="269"/>
      <c r="AG93" s="271"/>
    </row>
    <row r="94" spans="2:33">
      <c r="B94" s="269"/>
      <c r="Q94" s="271"/>
      <c r="R94" s="269"/>
      <c r="V94" s="270" t="s">
        <v>276</v>
      </c>
      <c r="X94" s="721">
        <f>'QCC (D)'!G38</f>
        <v>0</v>
      </c>
      <c r="Y94" s="722"/>
      <c r="Z94" s="722"/>
      <c r="AB94" s="262" t="s">
        <v>296</v>
      </c>
      <c r="AG94" s="271"/>
    </row>
    <row r="95" spans="2:33">
      <c r="B95" s="269"/>
      <c r="Q95" s="271"/>
      <c r="R95" s="269"/>
      <c r="AG95" s="271"/>
    </row>
    <row r="96" spans="2:33">
      <c r="B96" s="269"/>
      <c r="Q96" s="271"/>
      <c r="R96" s="269"/>
      <c r="AG96" s="271"/>
    </row>
    <row r="97" spans="2:33" ht="15">
      <c r="B97" s="269"/>
      <c r="Q97" s="271"/>
      <c r="R97" s="269"/>
      <c r="V97" s="270" t="s">
        <v>278</v>
      </c>
      <c r="X97" s="721">
        <f>'QCC (A.bis) cambio d''uso'!D98</f>
        <v>0</v>
      </c>
      <c r="Y97" s="723"/>
      <c r="Z97" s="723"/>
      <c r="AB97" s="262" t="s">
        <v>405</v>
      </c>
      <c r="AG97" s="271"/>
    </row>
    <row r="98" spans="2:33">
      <c r="B98" s="269"/>
      <c r="Q98" s="271"/>
      <c r="R98" s="269"/>
      <c r="AB98" s="262" t="s">
        <v>421</v>
      </c>
      <c r="AG98" s="271"/>
    </row>
    <row r="99" spans="2:33">
      <c r="B99" s="269"/>
      <c r="D99" s="270"/>
      <c r="F99" s="303"/>
      <c r="Q99" s="271"/>
      <c r="R99" s="269"/>
      <c r="Z99" s="303"/>
      <c r="AG99" s="271"/>
    </row>
    <row r="100" spans="2:33" ht="15">
      <c r="B100" s="269"/>
      <c r="D100" s="270"/>
      <c r="F100" s="304"/>
      <c r="H100" s="270"/>
      <c r="J100" s="270"/>
      <c r="L100" s="270"/>
      <c r="Q100" s="271"/>
      <c r="R100" s="269"/>
      <c r="T100" s="270"/>
      <c r="V100" s="270" t="s">
        <v>279</v>
      </c>
      <c r="X100" s="721">
        <f>'QCC (C.bis) cambio d''uso'!E59</f>
        <v>0</v>
      </c>
      <c r="Y100" s="723"/>
      <c r="Z100" s="723"/>
      <c r="AB100" s="262" t="s">
        <v>419</v>
      </c>
      <c r="AG100" s="271"/>
    </row>
    <row r="101" spans="2:33">
      <c r="B101" s="269"/>
      <c r="D101" s="270"/>
      <c r="F101" s="303"/>
      <c r="Q101" s="271"/>
      <c r="R101" s="269"/>
      <c r="T101" s="270"/>
      <c r="Z101" s="303"/>
      <c r="AB101" s="262" t="s">
        <v>422</v>
      </c>
      <c r="AG101" s="271"/>
    </row>
    <row r="102" spans="2:33">
      <c r="B102" s="269"/>
      <c r="G102" s="270"/>
      <c r="I102" s="270"/>
      <c r="K102" s="270"/>
      <c r="M102" s="270"/>
      <c r="Q102" s="271"/>
      <c r="R102" s="269"/>
      <c r="T102" s="270"/>
      <c r="AD102" s="270"/>
      <c r="AG102" s="271"/>
    </row>
    <row r="103" spans="2:33">
      <c r="B103" s="269"/>
      <c r="D103" s="270"/>
      <c r="F103" s="303"/>
      <c r="Q103" s="271"/>
      <c r="R103" s="269"/>
      <c r="V103" s="270" t="s">
        <v>280</v>
      </c>
      <c r="X103" s="721">
        <f>'QCC (C.ter) cambio d''uso'!E56</f>
        <v>0</v>
      </c>
      <c r="Y103" s="722"/>
      <c r="Z103" s="722"/>
      <c r="AB103" s="262" t="s">
        <v>420</v>
      </c>
      <c r="AG103" s="271"/>
    </row>
    <row r="104" spans="2:33">
      <c r="B104" s="269"/>
      <c r="D104" s="270"/>
      <c r="F104" s="270"/>
      <c r="H104" s="270"/>
      <c r="J104" s="270"/>
      <c r="L104" s="270"/>
      <c r="Q104" s="271"/>
      <c r="R104" s="269"/>
      <c r="T104" s="270"/>
      <c r="AB104" s="262" t="s">
        <v>421</v>
      </c>
      <c r="AG104" s="271"/>
    </row>
    <row r="105" spans="2:33">
      <c r="B105" s="269"/>
      <c r="D105" s="270"/>
      <c r="F105" s="303"/>
      <c r="Q105" s="271"/>
      <c r="R105" s="269"/>
      <c r="T105" s="270"/>
      <c r="V105" s="293"/>
      <c r="W105" s="293"/>
      <c r="X105" s="293"/>
      <c r="Y105" s="293"/>
      <c r="Z105" s="293"/>
      <c r="AG105" s="271"/>
    </row>
    <row r="106" spans="2:33">
      <c r="B106" s="269"/>
      <c r="Q106" s="271"/>
      <c r="R106" s="269"/>
      <c r="T106" s="270"/>
      <c r="AG106" s="271"/>
    </row>
    <row r="107" spans="2:33">
      <c r="B107" s="269"/>
      <c r="Q107" s="271"/>
      <c r="R107" s="269"/>
      <c r="V107" s="270" t="s">
        <v>241</v>
      </c>
      <c r="X107" s="651">
        <f>X85+X88+X91+X94+X97+X100+X103</f>
        <v>0</v>
      </c>
      <c r="Y107" s="652"/>
      <c r="Z107" s="652"/>
      <c r="AG107" s="271"/>
    </row>
    <row r="108" spans="2:33">
      <c r="B108" s="269"/>
      <c r="Q108" s="271"/>
      <c r="R108" s="269"/>
      <c r="AG108" s="271"/>
    </row>
    <row r="109" spans="2:33">
      <c r="B109" s="269"/>
      <c r="Q109" s="271"/>
      <c r="R109" s="269"/>
      <c r="AG109" s="271"/>
    </row>
    <row r="110" spans="2:33">
      <c r="B110" s="269"/>
      <c r="Q110" s="271"/>
      <c r="R110" s="269"/>
      <c r="V110" s="551" t="s">
        <v>418</v>
      </c>
      <c r="W110" s="552"/>
      <c r="X110" s="552"/>
      <c r="Y110" s="552"/>
      <c r="Z110" s="552"/>
      <c r="AA110" s="552"/>
      <c r="AB110" s="552"/>
      <c r="AC110" s="552"/>
      <c r="AD110" s="552"/>
      <c r="AG110" s="271"/>
    </row>
    <row r="111" spans="2:33">
      <c r="B111" s="269"/>
      <c r="Q111" s="271"/>
      <c r="R111" s="269"/>
      <c r="AG111" s="271"/>
    </row>
    <row r="112" spans="2:33" ht="13.5" thickBot="1">
      <c r="B112" s="297"/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9"/>
      <c r="R112" s="297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9"/>
    </row>
    <row r="113" spans="2:42" ht="12.75" customHeight="1">
      <c r="B113" s="757" t="s">
        <v>607</v>
      </c>
      <c r="C113" s="758"/>
      <c r="D113" s="758"/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9"/>
      <c r="R113" s="748" t="s">
        <v>608</v>
      </c>
      <c r="S113" s="749"/>
      <c r="T113" s="749"/>
      <c r="U113" s="749"/>
      <c r="V113" s="749"/>
      <c r="W113" s="749"/>
      <c r="X113" s="749"/>
      <c r="Y113" s="749"/>
      <c r="Z113" s="749"/>
      <c r="AA113" s="749"/>
      <c r="AB113" s="749"/>
      <c r="AC113" s="749"/>
      <c r="AD113" s="749"/>
      <c r="AE113" s="749"/>
      <c r="AF113" s="750"/>
      <c r="AG113" s="751" t="s">
        <v>549</v>
      </c>
    </row>
    <row r="114" spans="2:42" ht="12.75" customHeight="1">
      <c r="B114" s="760"/>
      <c r="C114" s="761"/>
      <c r="D114" s="761"/>
      <c r="E114" s="761"/>
      <c r="F114" s="761"/>
      <c r="G114" s="761"/>
      <c r="H114" s="761"/>
      <c r="I114" s="761"/>
      <c r="J114" s="761"/>
      <c r="K114" s="761"/>
      <c r="L114" s="761"/>
      <c r="M114" s="761"/>
      <c r="N114" s="761"/>
      <c r="O114" s="761"/>
      <c r="P114" s="761"/>
      <c r="Q114" s="762"/>
      <c r="R114" s="745"/>
      <c r="S114" s="746"/>
      <c r="T114" s="746"/>
      <c r="U114" s="746"/>
      <c r="V114" s="746"/>
      <c r="W114" s="746"/>
      <c r="X114" s="746"/>
      <c r="Y114" s="746"/>
      <c r="Z114" s="746"/>
      <c r="AA114" s="746"/>
      <c r="AB114" s="746"/>
      <c r="AC114" s="746"/>
      <c r="AD114" s="746"/>
      <c r="AE114" s="746"/>
      <c r="AF114" s="747"/>
      <c r="AG114" s="752"/>
    </row>
    <row r="115" spans="2:42" ht="12.75" customHeight="1">
      <c r="B115" s="745" t="s">
        <v>581</v>
      </c>
      <c r="C115" s="746"/>
      <c r="D115" s="746"/>
      <c r="E115" s="746"/>
      <c r="F115" s="746"/>
      <c r="G115" s="746"/>
      <c r="H115" s="746"/>
      <c r="I115" s="746"/>
      <c r="J115" s="746"/>
      <c r="K115" s="746"/>
      <c r="L115" s="746"/>
      <c r="M115" s="746"/>
      <c r="N115" s="746"/>
      <c r="O115" s="746"/>
      <c r="P115" s="746"/>
      <c r="Q115" s="747"/>
      <c r="R115" s="645" t="s">
        <v>581</v>
      </c>
      <c r="S115" s="646"/>
      <c r="T115" s="646"/>
      <c r="U115" s="646"/>
      <c r="V115" s="646"/>
      <c r="W115" s="646"/>
      <c r="X115" s="646"/>
      <c r="Y115" s="646"/>
      <c r="Z115" s="646"/>
      <c r="AA115" s="646"/>
      <c r="AB115" s="646"/>
      <c r="AC115" s="646"/>
      <c r="AD115" s="646"/>
      <c r="AE115" s="646"/>
      <c r="AF115" s="647"/>
      <c r="AG115" s="752"/>
    </row>
    <row r="116" spans="2:42" ht="13.5" customHeight="1" thickBot="1">
      <c r="B116" s="745"/>
      <c r="C116" s="746"/>
      <c r="D116" s="746"/>
      <c r="E116" s="746"/>
      <c r="F116" s="746"/>
      <c r="G116" s="746"/>
      <c r="H116" s="746"/>
      <c r="I116" s="746"/>
      <c r="J116" s="746"/>
      <c r="K116" s="746"/>
      <c r="L116" s="746"/>
      <c r="M116" s="746"/>
      <c r="N116" s="746"/>
      <c r="O116" s="746"/>
      <c r="P116" s="746"/>
      <c r="Q116" s="747"/>
      <c r="R116" s="648"/>
      <c r="S116" s="649"/>
      <c r="T116" s="649"/>
      <c r="U116" s="649"/>
      <c r="V116" s="649"/>
      <c r="W116" s="649"/>
      <c r="X116" s="649"/>
      <c r="Y116" s="649"/>
      <c r="Z116" s="649"/>
      <c r="AA116" s="649"/>
      <c r="AB116" s="649"/>
      <c r="AC116" s="649"/>
      <c r="AD116" s="649"/>
      <c r="AE116" s="649"/>
      <c r="AF116" s="650"/>
      <c r="AG116" s="753"/>
    </row>
    <row r="117" spans="2:42">
      <c r="B117" s="266"/>
      <c r="C117" s="267"/>
      <c r="D117" s="267"/>
      <c r="E117" s="267"/>
      <c r="F117" s="267"/>
      <c r="G117" s="267"/>
      <c r="H117" s="267"/>
      <c r="I117" s="267"/>
      <c r="J117" s="267"/>
      <c r="K117" s="267"/>
      <c r="L117" s="267"/>
      <c r="M117" s="267"/>
      <c r="N117" s="267"/>
      <c r="O117" s="267"/>
      <c r="P117" s="305"/>
      <c r="Q117" s="483"/>
      <c r="R117" s="266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396"/>
      <c r="AE117" s="267"/>
      <c r="AF117" s="306"/>
      <c r="AG117" s="307"/>
      <c r="AJ117" s="308"/>
    </row>
    <row r="118" spans="2:42" ht="15">
      <c r="B118" s="269"/>
      <c r="K118" s="288"/>
      <c r="L118" s="288"/>
      <c r="M118" s="288"/>
      <c r="N118" s="288"/>
      <c r="O118" s="265"/>
      <c r="P118" s="309"/>
      <c r="Q118" s="484"/>
      <c r="R118" s="269"/>
      <c r="W118" s="288"/>
      <c r="Y118" s="288"/>
      <c r="Z118" s="288"/>
      <c r="AA118" s="270"/>
      <c r="AB118" s="270"/>
      <c r="AC118" s="270"/>
      <c r="AD118" s="655" t="s">
        <v>481</v>
      </c>
      <c r="AE118" s="641"/>
      <c r="AF118" s="641"/>
      <c r="AG118" s="656"/>
      <c r="AJ118" s="308"/>
    </row>
    <row r="119" spans="2:42" ht="15">
      <c r="B119" s="269"/>
      <c r="D119" s="265"/>
      <c r="E119" s="265"/>
      <c r="G119" s="288"/>
      <c r="I119" s="288"/>
      <c r="K119" s="1"/>
      <c r="L119" s="1"/>
      <c r="M119" s="1"/>
      <c r="N119" s="1"/>
      <c r="O119" s="1"/>
      <c r="P119" s="309"/>
      <c r="Q119" s="484"/>
      <c r="R119" s="269"/>
      <c r="V119" s="288" t="s">
        <v>281</v>
      </c>
      <c r="W119" s="288"/>
      <c r="X119" s="288" t="s">
        <v>7</v>
      </c>
      <c r="Y119" s="288"/>
      <c r="Z119" s="288" t="s">
        <v>239</v>
      </c>
      <c r="AB119" s="288"/>
      <c r="AD119" s="657" t="s">
        <v>504</v>
      </c>
      <c r="AE119" s="658"/>
      <c r="AF119" s="658"/>
      <c r="AG119" s="659"/>
      <c r="AI119" s="263">
        <v>500</v>
      </c>
      <c r="AJ119" s="308"/>
    </row>
    <row r="120" spans="2:42">
      <c r="B120" s="269"/>
      <c r="F120" s="1"/>
      <c r="G120" s="1"/>
      <c r="H120" s="1" t="s">
        <v>3</v>
      </c>
      <c r="I120" s="1"/>
      <c r="L120" s="226"/>
      <c r="N120" s="226"/>
      <c r="P120" s="281"/>
      <c r="R120" s="269"/>
      <c r="V120" s="1"/>
      <c r="W120" s="1"/>
      <c r="X120" s="1" t="s">
        <v>3</v>
      </c>
      <c r="Y120" s="1"/>
      <c r="Z120" s="1"/>
      <c r="AB120" s="1" t="s">
        <v>3</v>
      </c>
      <c r="AD120" s="397"/>
      <c r="AF120" s="1"/>
      <c r="AG120" s="271"/>
      <c r="AI120" s="263">
        <v>200</v>
      </c>
    </row>
    <row r="121" spans="2:42" ht="15">
      <c r="B121" s="269"/>
      <c r="F121" s="270" t="s">
        <v>270</v>
      </c>
      <c r="G121" s="241" t="s">
        <v>1</v>
      </c>
      <c r="H121" s="270" t="s">
        <v>248</v>
      </c>
      <c r="I121" s="241" t="s">
        <v>2</v>
      </c>
      <c r="J121" s="270" t="s">
        <v>254</v>
      </c>
      <c r="L121" s="312" t="s">
        <v>271</v>
      </c>
      <c r="N121" s="313" t="s">
        <v>333</v>
      </c>
      <c r="R121" s="269"/>
      <c r="T121" s="314" t="s">
        <v>270</v>
      </c>
      <c r="U121" s="241" t="s">
        <v>1</v>
      </c>
      <c r="V121" s="261" t="s">
        <v>424</v>
      </c>
      <c r="X121" s="225"/>
      <c r="Y121" s="241" t="s">
        <v>2</v>
      </c>
      <c r="Z121" s="225"/>
      <c r="AA121" s="241" t="s">
        <v>1</v>
      </c>
      <c r="AB121" s="315">
        <f>X121*Z121</f>
        <v>0</v>
      </c>
      <c r="AD121" s="398" t="s">
        <v>424</v>
      </c>
      <c r="AE121" s="241" t="s">
        <v>1</v>
      </c>
      <c r="AF121" s="459"/>
      <c r="AG121" s="271" t="s">
        <v>175</v>
      </c>
      <c r="AI121" s="263">
        <v>30</v>
      </c>
    </row>
    <row r="122" spans="2:42">
      <c r="B122" s="269"/>
      <c r="D122" s="265"/>
      <c r="E122" s="265"/>
      <c r="F122" s="288"/>
      <c r="G122" s="288"/>
      <c r="H122" s="288"/>
      <c r="I122" s="288"/>
      <c r="J122" s="288"/>
      <c r="K122" s="288"/>
      <c r="L122" s="288"/>
      <c r="M122" s="288"/>
      <c r="N122" s="288"/>
      <c r="O122" s="265"/>
      <c r="P122" s="265"/>
      <c r="Q122" s="265"/>
      <c r="R122" s="269"/>
      <c r="V122" s="270"/>
      <c r="W122" s="270"/>
      <c r="X122" s="270"/>
      <c r="Y122" s="270"/>
      <c r="Z122" s="270"/>
      <c r="AA122" s="270"/>
      <c r="AB122" s="270"/>
      <c r="AC122" s="270"/>
      <c r="AD122" s="285" t="s">
        <v>376</v>
      </c>
      <c r="AE122" s="241" t="s">
        <v>1</v>
      </c>
      <c r="AF122" s="459"/>
      <c r="AG122" s="271"/>
      <c r="AP122" s="264" t="str">
        <f>AM131&amp;CHAR(10)&amp;AM148&amp;CHAR(10)&amp;AM124&amp;CHAR(10)&amp;AM129&amp;CHAR(10)&amp;AM173</f>
        <v xml:space="preserve"> [MSP1=] [mq]0 x  [€/mq] 200 = 0
 [MSP2=] [mq]0 x  [€/mq] 200 = 0
 [MPP1=] [mq] [x]  [€/mq] 145,69 = 0 €
 [MPP2=] [mq] [x]  [€/mq] 145,69 = 0 €
 [MVS=] [mq]0 x [€/mq] 200 = 0 €</v>
      </c>
    </row>
    <row r="123" spans="2:42">
      <c r="B123" s="26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R123" s="269"/>
      <c r="T123" s="314" t="s">
        <v>270</v>
      </c>
      <c r="U123" s="241" t="s">
        <v>1</v>
      </c>
      <c r="V123" s="261" t="s">
        <v>282</v>
      </c>
      <c r="X123" s="225"/>
      <c r="Y123" s="241" t="s">
        <v>2</v>
      </c>
      <c r="Z123" s="225"/>
      <c r="AA123" s="241" t="s">
        <v>1</v>
      </c>
      <c r="AB123" s="315">
        <f>X123*Z123</f>
        <v>0</v>
      </c>
      <c r="AD123" s="285" t="s">
        <v>377</v>
      </c>
      <c r="AE123" s="241" t="s">
        <v>1</v>
      </c>
      <c r="AF123" s="459">
        <v>145.69</v>
      </c>
      <c r="AG123" s="271" t="s">
        <v>111</v>
      </c>
      <c r="AI123" s="263" t="s">
        <v>424</v>
      </c>
    </row>
    <row r="124" spans="2:42">
      <c r="B124" s="269"/>
      <c r="F124" s="1"/>
      <c r="G124" s="1"/>
      <c r="H124" s="1" t="s">
        <v>3</v>
      </c>
      <c r="I124" s="1"/>
      <c r="J124" s="1" t="s">
        <v>4</v>
      </c>
      <c r="K124" s="1"/>
      <c r="L124" s="1"/>
      <c r="N124" s="226"/>
      <c r="P124" s="281"/>
      <c r="R124" s="269"/>
      <c r="AD124" s="3" t="s">
        <v>378</v>
      </c>
      <c r="AE124" s="241" t="s">
        <v>1</v>
      </c>
      <c r="AF124" s="399">
        <f>AF121*AF122*AF123</f>
        <v>0</v>
      </c>
      <c r="AG124" s="271"/>
      <c r="AI124" s="263" t="s">
        <v>282</v>
      </c>
      <c r="AM124" s="264" t="str">
        <f>" [MPP1=] [mq]"&amp;AF121&amp;" [x] "&amp;AF122&amp;" [€/mq] "&amp;AF123&amp;" "&amp;AE124&amp;" "&amp;AF124&amp;""&amp; " €"</f>
        <v xml:space="preserve"> [MPP1=] [mq] [x]  [€/mq] 145,69 = 0 €</v>
      </c>
    </row>
    <row r="125" spans="2:42" ht="15">
      <c r="B125" s="269"/>
      <c r="F125" s="270" t="s">
        <v>20</v>
      </c>
      <c r="G125" s="241" t="s">
        <v>1</v>
      </c>
      <c r="H125" s="270" t="s">
        <v>270</v>
      </c>
      <c r="I125" s="241" t="s">
        <v>2</v>
      </c>
      <c r="J125" s="270" t="s">
        <v>255</v>
      </c>
      <c r="L125" s="270" t="s">
        <v>272</v>
      </c>
      <c r="N125" s="313" t="s">
        <v>273</v>
      </c>
      <c r="R125" s="269"/>
      <c r="Z125" s="314" t="s">
        <v>293</v>
      </c>
      <c r="AA125" s="241" t="s">
        <v>1</v>
      </c>
      <c r="AB125" s="316">
        <f>AB121+AB123</f>
        <v>0</v>
      </c>
      <c r="AD125" s="285"/>
      <c r="AG125" s="271"/>
      <c r="AI125" s="263" t="s">
        <v>283</v>
      </c>
      <c r="AJ125" s="525">
        <f>AB125</f>
        <v>0</v>
      </c>
    </row>
    <row r="126" spans="2:42">
      <c r="B126" s="269"/>
      <c r="R126" s="269"/>
      <c r="AD126" s="398" t="s">
        <v>282</v>
      </c>
      <c r="AE126" s="241" t="s">
        <v>1</v>
      </c>
      <c r="AF126" s="459"/>
      <c r="AG126" s="271" t="s">
        <v>175</v>
      </c>
      <c r="AI126" s="263" t="s">
        <v>286</v>
      </c>
      <c r="AJ126" s="524">
        <f>ROUND(AJ125,2)</f>
        <v>0</v>
      </c>
    </row>
    <row r="127" spans="2:42">
      <c r="B127" s="269"/>
      <c r="R127" s="269"/>
      <c r="S127" s="553" t="s">
        <v>472</v>
      </c>
      <c r="T127" s="552"/>
      <c r="U127" s="552"/>
      <c r="V127" s="554"/>
      <c r="W127" s="552"/>
      <c r="X127" s="552"/>
      <c r="Y127" s="552"/>
      <c r="AD127" s="285" t="s">
        <v>376</v>
      </c>
      <c r="AE127" s="241" t="s">
        <v>1</v>
      </c>
      <c r="AF127" s="459"/>
      <c r="AG127" s="271"/>
      <c r="AI127" s="263" t="s">
        <v>284</v>
      </c>
    </row>
    <row r="128" spans="2:42">
      <c r="B128" s="269"/>
      <c r="R128" s="269"/>
      <c r="AD128" s="285" t="s">
        <v>377</v>
      </c>
      <c r="AE128" s="241" t="s">
        <v>1</v>
      </c>
      <c r="AF128" s="459">
        <v>145.69</v>
      </c>
      <c r="AG128" s="271" t="s">
        <v>111</v>
      </c>
      <c r="AI128" s="263" t="s">
        <v>285</v>
      </c>
    </row>
    <row r="129" spans="2:39" ht="14.25">
      <c r="B129" s="269"/>
      <c r="R129" s="269"/>
      <c r="V129" s="288" t="s">
        <v>270</v>
      </c>
      <c r="W129" s="288"/>
      <c r="X129" s="288" t="s">
        <v>240</v>
      </c>
      <c r="Y129" s="288"/>
      <c r="AD129" s="3" t="s">
        <v>379</v>
      </c>
      <c r="AE129" s="241" t="s">
        <v>1</v>
      </c>
      <c r="AF129" s="399">
        <f>AF126*AF127*AF128</f>
        <v>0</v>
      </c>
      <c r="AG129" s="271"/>
      <c r="AM129" s="264" t="str">
        <f>" [MPP2=] [mq]"&amp;AF126&amp;" [x] "&amp;AF127&amp;" [€/mq] "&amp;AF128&amp;" "&amp;AE129&amp;" "&amp;AF129&amp;""&amp; " €"</f>
        <v xml:space="preserve"> [MPP2=] [mq] [x]  [€/mq] 145,69 = 0 €</v>
      </c>
    </row>
    <row r="130" spans="2:39">
      <c r="B130" s="269"/>
      <c r="R130" s="269"/>
      <c r="V130" s="1" t="s">
        <v>3</v>
      </c>
      <c r="W130" s="1"/>
      <c r="X130" s="1" t="s">
        <v>4</v>
      </c>
      <c r="Y130" s="1"/>
      <c r="AA130" s="1"/>
      <c r="AB130" s="226"/>
      <c r="AD130" s="285"/>
      <c r="AF130" s="1"/>
      <c r="AG130" s="271"/>
      <c r="AI130" s="263" t="s">
        <v>129</v>
      </c>
    </row>
    <row r="131" spans="2:39">
      <c r="B131" s="269"/>
      <c r="R131" s="269"/>
      <c r="T131" s="270" t="s">
        <v>586</v>
      </c>
      <c r="U131" s="241" t="s">
        <v>1</v>
      </c>
      <c r="V131" s="482">
        <f>AJ126</f>
        <v>0</v>
      </c>
      <c r="W131" s="241" t="s">
        <v>2</v>
      </c>
      <c r="X131" s="225">
        <v>200</v>
      </c>
      <c r="AA131" s="241" t="s">
        <v>1</v>
      </c>
      <c r="AB131" s="312">
        <f>V131*X131</f>
        <v>0</v>
      </c>
      <c r="AD131" s="3" t="s">
        <v>380</v>
      </c>
      <c r="AE131" s="241" t="s">
        <v>1</v>
      </c>
      <c r="AF131" s="400">
        <f>AF124+AF129</f>
        <v>0</v>
      </c>
      <c r="AG131" s="271"/>
      <c r="AI131" s="263" t="s">
        <v>126</v>
      </c>
      <c r="AM131" s="264" t="str">
        <f>" [MSP1=] [mq]"&amp;V131&amp;" x "&amp;" [€/mq] "&amp;X131&amp;" "&amp;AA131&amp;" "&amp;AB131</f>
        <v xml:space="preserve"> [MSP1=] [mq]0 x  [€/mq] 200 = 0</v>
      </c>
    </row>
    <row r="132" spans="2:39">
      <c r="B132" s="269"/>
      <c r="R132" s="269"/>
      <c r="AD132" s="285"/>
      <c r="AG132" s="271"/>
      <c r="AM132" s="264" t="str">
        <f>" [MPP] "&amp;AF131&amp;""</f>
        <v xml:space="preserve"> [MPP] 0</v>
      </c>
    </row>
    <row r="133" spans="2:39">
      <c r="B133" s="269"/>
      <c r="R133" s="269"/>
      <c r="AD133" s="397"/>
      <c r="AF133" s="270"/>
      <c r="AG133" s="271"/>
    </row>
    <row r="134" spans="2:39" ht="15">
      <c r="B134" s="269"/>
      <c r="R134" s="662" t="s">
        <v>381</v>
      </c>
      <c r="S134" s="663"/>
      <c r="T134" s="663"/>
      <c r="U134" s="663"/>
      <c r="V134" s="663"/>
      <c r="W134" s="663"/>
      <c r="X134" s="663"/>
      <c r="Y134" s="663"/>
      <c r="Z134" s="663"/>
      <c r="AA134" s="663"/>
      <c r="AB134" s="663"/>
      <c r="AC134" s="664"/>
      <c r="AD134" s="226"/>
      <c r="AF134" s="270"/>
      <c r="AG134" s="271"/>
    </row>
    <row r="135" spans="2:39" ht="15">
      <c r="B135" s="269"/>
      <c r="R135" s="754" t="s">
        <v>452</v>
      </c>
      <c r="S135" s="755"/>
      <c r="T135" s="755"/>
      <c r="U135" s="755"/>
      <c r="V135" s="755"/>
      <c r="W135" s="755"/>
      <c r="X135" s="755"/>
      <c r="Y135" s="755"/>
      <c r="Z135" s="755"/>
      <c r="AA135" s="755"/>
      <c r="AB135" s="755"/>
      <c r="AC135" s="756"/>
      <c r="AF135" s="226"/>
      <c r="AG135" s="271"/>
    </row>
    <row r="136" spans="2:39">
      <c r="B136" s="269"/>
      <c r="R136" s="269"/>
      <c r="AC136" s="286"/>
      <c r="AG136" s="271"/>
    </row>
    <row r="137" spans="2:39" ht="14.25">
      <c r="B137" s="269"/>
      <c r="R137" s="269"/>
      <c r="V137" s="288" t="s">
        <v>281</v>
      </c>
      <c r="W137" s="288"/>
      <c r="X137" s="288" t="s">
        <v>7</v>
      </c>
      <c r="Y137" s="288"/>
      <c r="Z137" s="288" t="s">
        <v>239</v>
      </c>
      <c r="AC137" s="286"/>
      <c r="AG137" s="271"/>
    </row>
    <row r="138" spans="2:39">
      <c r="B138" s="269"/>
      <c r="R138" s="269"/>
      <c r="V138" s="1"/>
      <c r="W138" s="1"/>
      <c r="X138" s="1" t="s">
        <v>3</v>
      </c>
      <c r="Y138" s="1"/>
      <c r="Z138" s="1"/>
      <c r="AB138" s="1" t="s">
        <v>3</v>
      </c>
      <c r="AC138" s="286"/>
      <c r="AG138" s="271"/>
    </row>
    <row r="139" spans="2:39">
      <c r="B139" s="269"/>
      <c r="R139" s="269"/>
      <c r="T139" s="314" t="s">
        <v>288</v>
      </c>
      <c r="U139" s="241" t="s">
        <v>1</v>
      </c>
      <c r="V139" s="261" t="s">
        <v>282</v>
      </c>
      <c r="X139" s="225"/>
      <c r="Y139" s="241" t="s">
        <v>2</v>
      </c>
      <c r="Z139" s="225"/>
      <c r="AA139" s="241" t="s">
        <v>1</v>
      </c>
      <c r="AB139" s="315">
        <f>X139*Z139</f>
        <v>0</v>
      </c>
      <c r="AC139" s="286"/>
      <c r="AG139" s="271"/>
    </row>
    <row r="140" spans="2:39">
      <c r="B140" s="269"/>
      <c r="R140" s="269"/>
      <c r="V140" s="288"/>
      <c r="W140" s="288"/>
      <c r="X140" s="288"/>
      <c r="Y140" s="288"/>
      <c r="Z140" s="288"/>
      <c r="AC140" s="286"/>
      <c r="AE140" s="265"/>
      <c r="AG140" s="271"/>
    </row>
    <row r="141" spans="2:39">
      <c r="B141" s="269"/>
      <c r="R141" s="269"/>
      <c r="T141" s="314" t="s">
        <v>289</v>
      </c>
      <c r="U141" s="241" t="s">
        <v>1</v>
      </c>
      <c r="V141" s="261" t="s">
        <v>424</v>
      </c>
      <c r="X141" s="225"/>
      <c r="Y141" s="241" t="s">
        <v>2</v>
      </c>
      <c r="Z141" s="225"/>
      <c r="AA141" s="241" t="s">
        <v>1</v>
      </c>
      <c r="AB141" s="315">
        <f>X141*Z141</f>
        <v>0</v>
      </c>
      <c r="AC141" s="286"/>
      <c r="AG141" s="271"/>
    </row>
    <row r="142" spans="2:39">
      <c r="B142" s="269"/>
      <c r="R142" s="269"/>
      <c r="AC142" s="286"/>
      <c r="AG142" s="271"/>
    </row>
    <row r="143" spans="2:39">
      <c r="B143" s="269"/>
      <c r="R143" s="269"/>
      <c r="Z143" s="314" t="s">
        <v>293</v>
      </c>
      <c r="AA143" s="241" t="s">
        <v>1</v>
      </c>
      <c r="AB143" s="317">
        <f>IF(AI143&gt;0,AI143,0)</f>
        <v>0</v>
      </c>
      <c r="AC143" s="286"/>
      <c r="AD143" s="313"/>
      <c r="AG143" s="271"/>
      <c r="AI143" s="526">
        <f>AB141-AB139</f>
        <v>0</v>
      </c>
    </row>
    <row r="144" spans="2:39">
      <c r="B144" s="269"/>
      <c r="R144" s="269"/>
      <c r="S144" s="553" t="s">
        <v>472</v>
      </c>
      <c r="T144" s="552"/>
      <c r="U144" s="552"/>
      <c r="V144" s="552"/>
      <c r="W144" s="552"/>
      <c r="X144" s="552"/>
      <c r="Y144" s="552"/>
      <c r="AC144" s="286"/>
      <c r="AG144" s="271"/>
      <c r="AI144" s="524">
        <f>ROUND(AI143,2)</f>
        <v>0</v>
      </c>
    </row>
    <row r="145" spans="2:39">
      <c r="B145" s="269"/>
      <c r="R145" s="269"/>
      <c r="V145" s="313"/>
      <c r="AC145" s="286"/>
      <c r="AG145" s="271"/>
    </row>
    <row r="146" spans="2:39" ht="14.25">
      <c r="B146" s="269"/>
      <c r="R146" s="269"/>
      <c r="V146" s="288" t="s">
        <v>270</v>
      </c>
      <c r="W146" s="288"/>
      <c r="X146" s="288" t="s">
        <v>240</v>
      </c>
      <c r="Y146" s="288"/>
      <c r="AC146" s="286"/>
      <c r="AG146" s="271"/>
    </row>
    <row r="147" spans="2:39">
      <c r="B147" s="269"/>
      <c r="R147" s="269"/>
      <c r="V147" s="1" t="s">
        <v>3</v>
      </c>
      <c r="W147" s="1"/>
      <c r="X147" s="1" t="s">
        <v>4</v>
      </c>
      <c r="Y147" s="1"/>
      <c r="AA147" s="1"/>
      <c r="AB147" s="226"/>
      <c r="AC147" s="286"/>
      <c r="AG147" s="271"/>
    </row>
    <row r="148" spans="2:39">
      <c r="B148" s="269"/>
      <c r="R148" s="269"/>
      <c r="T148" s="270" t="s">
        <v>587</v>
      </c>
      <c r="U148" s="241" t="s">
        <v>1</v>
      </c>
      <c r="V148" s="482">
        <f>AI144</f>
        <v>0</v>
      </c>
      <c r="W148" s="241" t="s">
        <v>2</v>
      </c>
      <c r="X148" s="225">
        <v>200</v>
      </c>
      <c r="AA148" s="241" t="s">
        <v>1</v>
      </c>
      <c r="AB148" s="312">
        <f>V148*X148</f>
        <v>0</v>
      </c>
      <c r="AC148" s="286"/>
      <c r="AG148" s="271"/>
      <c r="AM148" s="264" t="str">
        <f>" [MSP2=] [mq]"&amp;V148&amp;" x "&amp;" [€/mq] "&amp;X148&amp;" "&amp;AA148&amp;" "&amp;AB148</f>
        <v xml:space="preserve"> [MSP2=] [mq]0 x  [€/mq] 200 = 0</v>
      </c>
    </row>
    <row r="149" spans="2:39">
      <c r="B149" s="269"/>
      <c r="R149" s="269"/>
      <c r="AC149" s="286"/>
      <c r="AG149" s="271"/>
    </row>
    <row r="150" spans="2:39" ht="13.5" thickBot="1">
      <c r="B150" s="297"/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7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485"/>
      <c r="AD150" s="298"/>
      <c r="AE150" s="298"/>
      <c r="AF150" s="298"/>
      <c r="AG150" s="299"/>
      <c r="AI150" s="263" t="s">
        <v>5</v>
      </c>
    </row>
    <row r="151" spans="2:39">
      <c r="B151" s="757" t="s">
        <v>608</v>
      </c>
      <c r="C151" s="758"/>
      <c r="D151" s="758"/>
      <c r="E151" s="758"/>
      <c r="F151" s="758"/>
      <c r="G151" s="758"/>
      <c r="H151" s="758"/>
      <c r="I151" s="758"/>
      <c r="J151" s="758"/>
      <c r="K151" s="758"/>
      <c r="L151" s="758"/>
      <c r="M151" s="758"/>
      <c r="N151" s="758"/>
      <c r="O151" s="758"/>
      <c r="P151" s="758"/>
      <c r="Q151" s="759"/>
      <c r="R151" s="748" t="s">
        <v>608</v>
      </c>
      <c r="S151" s="749"/>
      <c r="T151" s="749"/>
      <c r="U151" s="749"/>
      <c r="V151" s="749"/>
      <c r="W151" s="749"/>
      <c r="X151" s="749"/>
      <c r="Y151" s="749"/>
      <c r="Z151" s="749"/>
      <c r="AA151" s="749"/>
      <c r="AB151" s="749"/>
      <c r="AC151" s="749"/>
      <c r="AD151" s="749"/>
      <c r="AE151" s="749"/>
      <c r="AF151" s="750"/>
      <c r="AG151" s="751" t="s">
        <v>548</v>
      </c>
    </row>
    <row r="152" spans="2:39">
      <c r="B152" s="760"/>
      <c r="C152" s="761"/>
      <c r="D152" s="761"/>
      <c r="E152" s="761"/>
      <c r="F152" s="761"/>
      <c r="G152" s="761"/>
      <c r="H152" s="761"/>
      <c r="I152" s="761"/>
      <c r="J152" s="761"/>
      <c r="K152" s="761"/>
      <c r="L152" s="761"/>
      <c r="M152" s="761"/>
      <c r="N152" s="761"/>
      <c r="O152" s="761"/>
      <c r="P152" s="761"/>
      <c r="Q152" s="762"/>
      <c r="R152" s="745"/>
      <c r="S152" s="746"/>
      <c r="T152" s="746"/>
      <c r="U152" s="746"/>
      <c r="V152" s="746"/>
      <c r="W152" s="746"/>
      <c r="X152" s="746"/>
      <c r="Y152" s="746"/>
      <c r="Z152" s="746"/>
      <c r="AA152" s="746"/>
      <c r="AB152" s="746"/>
      <c r="AC152" s="746"/>
      <c r="AD152" s="746"/>
      <c r="AE152" s="746"/>
      <c r="AF152" s="747"/>
      <c r="AG152" s="752"/>
    </row>
    <row r="153" spans="2:39">
      <c r="B153" s="745" t="s">
        <v>462</v>
      </c>
      <c r="C153" s="746"/>
      <c r="D153" s="746"/>
      <c r="E153" s="746"/>
      <c r="F153" s="746"/>
      <c r="G153" s="746"/>
      <c r="H153" s="746"/>
      <c r="I153" s="746"/>
      <c r="J153" s="746"/>
      <c r="K153" s="746"/>
      <c r="L153" s="746"/>
      <c r="M153" s="746"/>
      <c r="N153" s="746"/>
      <c r="O153" s="746"/>
      <c r="P153" s="746"/>
      <c r="Q153" s="747"/>
      <c r="R153" s="645" t="s">
        <v>462</v>
      </c>
      <c r="S153" s="646"/>
      <c r="T153" s="646"/>
      <c r="U153" s="646"/>
      <c r="V153" s="646"/>
      <c r="W153" s="646"/>
      <c r="X153" s="646"/>
      <c r="Y153" s="646"/>
      <c r="Z153" s="646"/>
      <c r="AA153" s="646"/>
      <c r="AB153" s="646"/>
      <c r="AC153" s="646"/>
      <c r="AD153" s="646"/>
      <c r="AE153" s="646"/>
      <c r="AF153" s="647"/>
      <c r="AG153" s="752"/>
    </row>
    <row r="154" spans="2:39" ht="13.5" thickBot="1">
      <c r="B154" s="745"/>
      <c r="C154" s="746"/>
      <c r="D154" s="746"/>
      <c r="E154" s="746"/>
      <c r="F154" s="746"/>
      <c r="G154" s="746"/>
      <c r="H154" s="746"/>
      <c r="I154" s="746"/>
      <c r="J154" s="746"/>
      <c r="K154" s="746"/>
      <c r="L154" s="746"/>
      <c r="M154" s="746"/>
      <c r="N154" s="746"/>
      <c r="O154" s="746"/>
      <c r="P154" s="746"/>
      <c r="Q154" s="747"/>
      <c r="R154" s="648"/>
      <c r="S154" s="649"/>
      <c r="T154" s="649"/>
      <c r="U154" s="649"/>
      <c r="V154" s="649"/>
      <c r="W154" s="649"/>
      <c r="X154" s="649"/>
      <c r="Y154" s="649"/>
      <c r="Z154" s="649"/>
      <c r="AA154" s="649"/>
      <c r="AB154" s="649"/>
      <c r="AC154" s="649"/>
      <c r="AD154" s="649"/>
      <c r="AE154" s="649"/>
      <c r="AF154" s="650"/>
      <c r="AG154" s="753"/>
    </row>
    <row r="155" spans="2:39">
      <c r="B155" s="266"/>
      <c r="C155" s="267"/>
      <c r="D155" s="267"/>
      <c r="E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8"/>
      <c r="R155" s="266"/>
      <c r="S155" s="267"/>
      <c r="T155" s="267"/>
      <c r="U155" s="267"/>
      <c r="V155" s="267"/>
      <c r="W155" s="267"/>
      <c r="X155" s="267"/>
      <c r="Y155" s="267"/>
      <c r="Z155" s="267"/>
      <c r="AA155" s="267"/>
      <c r="AB155" s="267"/>
      <c r="AC155" s="267"/>
      <c r="AD155" s="267"/>
      <c r="AE155" s="267"/>
      <c r="AF155" s="306"/>
      <c r="AG155" s="268"/>
    </row>
    <row r="156" spans="2:39">
      <c r="B156" s="269"/>
      <c r="F156" s="1"/>
      <c r="G156" s="1"/>
      <c r="H156" s="1" t="s">
        <v>3</v>
      </c>
      <c r="I156" s="1"/>
      <c r="L156" s="226"/>
      <c r="N156" s="226"/>
      <c r="P156" s="281"/>
      <c r="Q156" s="271"/>
      <c r="R156" s="269"/>
      <c r="W156" s="288"/>
      <c r="Y156" s="288"/>
      <c r="Z156" s="288"/>
      <c r="AA156" s="270"/>
      <c r="AB156" s="270"/>
      <c r="AC156" s="270"/>
      <c r="AD156" s="304" t="s">
        <v>479</v>
      </c>
      <c r="AF156" s="310"/>
      <c r="AG156" s="271"/>
    </row>
    <row r="157" spans="2:39" ht="15">
      <c r="B157" s="269"/>
      <c r="F157" s="270" t="s">
        <v>270</v>
      </c>
      <c r="G157" s="241" t="s">
        <v>1</v>
      </c>
      <c r="H157" s="270" t="s">
        <v>248</v>
      </c>
      <c r="I157" s="241" t="s">
        <v>2</v>
      </c>
      <c r="J157" s="270" t="s">
        <v>254</v>
      </c>
      <c r="L157" s="312" t="s">
        <v>271</v>
      </c>
      <c r="N157" s="313" t="s">
        <v>333</v>
      </c>
      <c r="Q157" s="271"/>
      <c r="R157" s="269"/>
      <c r="V157" s="288" t="s">
        <v>454</v>
      </c>
      <c r="W157" s="288"/>
      <c r="X157" s="288" t="s">
        <v>455</v>
      </c>
      <c r="Y157" s="288"/>
      <c r="Z157" s="288" t="s">
        <v>478</v>
      </c>
      <c r="AB157" s="288"/>
      <c r="AD157" s="304"/>
      <c r="AF157" s="288"/>
      <c r="AG157" s="271"/>
    </row>
    <row r="158" spans="2:39">
      <c r="B158" s="269"/>
      <c r="F158" s="288"/>
      <c r="G158" s="288"/>
      <c r="H158" s="288"/>
      <c r="I158" s="288"/>
      <c r="J158" s="288"/>
      <c r="K158" s="288"/>
      <c r="L158" s="288"/>
      <c r="M158" s="288"/>
      <c r="N158" s="288"/>
      <c r="O158" s="265"/>
      <c r="P158" s="265"/>
      <c r="Q158" s="271"/>
      <c r="R158" s="269"/>
      <c r="V158" s="1"/>
      <c r="W158" s="1"/>
      <c r="X158" s="1" t="s">
        <v>3</v>
      </c>
      <c r="Y158" s="1"/>
      <c r="Z158" s="1"/>
      <c r="AB158" s="1" t="s">
        <v>3</v>
      </c>
      <c r="AD158" s="482"/>
      <c r="AE158" s="270"/>
      <c r="AF158" s="1"/>
      <c r="AG158" s="271"/>
    </row>
    <row r="159" spans="2:39">
      <c r="B159" s="26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71"/>
      <c r="R159" s="269"/>
      <c r="T159" s="314" t="s">
        <v>270</v>
      </c>
      <c r="U159" s="241" t="s">
        <v>1</v>
      </c>
      <c r="V159" s="261" t="s">
        <v>424</v>
      </c>
      <c r="X159" s="225"/>
      <c r="Y159" s="241" t="s">
        <v>2</v>
      </c>
      <c r="Z159" s="488">
        <v>0.48</v>
      </c>
      <c r="AA159" s="241" t="s">
        <v>1</v>
      </c>
      <c r="AB159" s="315">
        <f>X159*Z159</f>
        <v>0</v>
      </c>
      <c r="AD159" s="313" t="s">
        <v>456</v>
      </c>
      <c r="AG159" s="271"/>
    </row>
    <row r="160" spans="2:39">
      <c r="B160" s="269"/>
      <c r="F160" s="1"/>
      <c r="G160" s="1"/>
      <c r="H160" s="1" t="s">
        <v>3</v>
      </c>
      <c r="I160" s="1"/>
      <c r="J160" s="1" t="s">
        <v>4</v>
      </c>
      <c r="K160" s="1"/>
      <c r="L160" s="1"/>
      <c r="N160" s="226"/>
      <c r="P160" s="281"/>
      <c r="Q160" s="271"/>
      <c r="R160" s="269"/>
      <c r="V160" s="270"/>
      <c r="W160" s="270"/>
      <c r="X160" s="270"/>
      <c r="Y160" s="270"/>
      <c r="Z160" s="489"/>
      <c r="AA160" s="270"/>
      <c r="AB160" s="270"/>
      <c r="AC160" s="270"/>
      <c r="AD160" s="313"/>
      <c r="AG160" s="271"/>
    </row>
    <row r="161" spans="2:39" ht="15">
      <c r="B161" s="269"/>
      <c r="F161" s="270" t="s">
        <v>20</v>
      </c>
      <c r="G161" s="241" t="s">
        <v>1</v>
      </c>
      <c r="H161" s="270" t="s">
        <v>270</v>
      </c>
      <c r="I161" s="241" t="s">
        <v>2</v>
      </c>
      <c r="J161" s="270" t="s">
        <v>255</v>
      </c>
      <c r="L161" s="270" t="s">
        <v>272</v>
      </c>
      <c r="N161" s="313" t="s">
        <v>273</v>
      </c>
      <c r="Q161" s="271"/>
      <c r="R161" s="269"/>
      <c r="T161" s="314" t="s">
        <v>270</v>
      </c>
      <c r="U161" s="241" t="s">
        <v>1</v>
      </c>
      <c r="V161" s="261" t="s">
        <v>424</v>
      </c>
      <c r="X161" s="225"/>
      <c r="Y161" s="241" t="s">
        <v>2</v>
      </c>
      <c r="Z161" s="488">
        <v>0.18</v>
      </c>
      <c r="AA161" s="241" t="s">
        <v>1</v>
      </c>
      <c r="AB161" s="315">
        <f>X161*Z161</f>
        <v>0</v>
      </c>
      <c r="AD161" s="313" t="s">
        <v>457</v>
      </c>
      <c r="AG161" s="271"/>
    </row>
    <row r="162" spans="2:39">
      <c r="B162" s="269"/>
      <c r="Q162" s="271"/>
      <c r="R162" s="269"/>
      <c r="T162" s="314"/>
      <c r="X162" s="226"/>
      <c r="Z162" s="490"/>
      <c r="AB162" s="315"/>
      <c r="AD162" s="313"/>
      <c r="AG162" s="271"/>
    </row>
    <row r="163" spans="2:39">
      <c r="B163" s="269"/>
      <c r="Q163" s="271"/>
      <c r="R163" s="269"/>
      <c r="T163" s="314" t="s">
        <v>270</v>
      </c>
      <c r="U163" s="241" t="s">
        <v>1</v>
      </c>
      <c r="V163" s="261" t="s">
        <v>424</v>
      </c>
      <c r="X163" s="225"/>
      <c r="Y163" s="241" t="s">
        <v>2</v>
      </c>
      <c r="Z163" s="488">
        <v>8.4000000000000005E-2</v>
      </c>
      <c r="AA163" s="241" t="s">
        <v>1</v>
      </c>
      <c r="AB163" s="315">
        <f>X163*Z163</f>
        <v>0</v>
      </c>
      <c r="AD163" s="313" t="s">
        <v>458</v>
      </c>
      <c r="AG163" s="271"/>
    </row>
    <row r="164" spans="2:39">
      <c r="B164" s="269"/>
      <c r="Q164" s="271"/>
      <c r="R164" s="269"/>
      <c r="V164" s="270"/>
      <c r="W164" s="270"/>
      <c r="X164" s="270"/>
      <c r="Y164" s="270"/>
      <c r="Z164" s="489"/>
      <c r="AA164" s="270"/>
      <c r="AB164" s="270"/>
      <c r="AD164" s="313"/>
      <c r="AG164" s="271"/>
    </row>
    <row r="165" spans="2:39">
      <c r="B165" s="269"/>
      <c r="Q165" s="271"/>
      <c r="R165" s="269"/>
      <c r="T165" s="314" t="s">
        <v>270</v>
      </c>
      <c r="U165" s="241" t="s">
        <v>1</v>
      </c>
      <c r="V165" s="261" t="s">
        <v>424</v>
      </c>
      <c r="X165" s="225"/>
      <c r="Y165" s="241" t="s">
        <v>2</v>
      </c>
      <c r="Z165" s="488">
        <v>3.5999999999999997E-2</v>
      </c>
      <c r="AA165" s="241" t="s">
        <v>1</v>
      </c>
      <c r="AB165" s="315">
        <f>X165*Z165</f>
        <v>0</v>
      </c>
      <c r="AD165" s="313" t="s">
        <v>459</v>
      </c>
      <c r="AG165" s="271"/>
    </row>
    <row r="166" spans="2:39">
      <c r="B166" s="269"/>
      <c r="Q166" s="271"/>
      <c r="R166" s="269"/>
      <c r="T166" s="314"/>
      <c r="X166" s="226"/>
      <c r="Z166" s="226"/>
      <c r="AB166" s="315"/>
      <c r="AG166" s="271"/>
    </row>
    <row r="167" spans="2:39">
      <c r="B167" s="269"/>
      <c r="Q167" s="271"/>
      <c r="R167" s="269"/>
      <c r="Z167" s="314" t="s">
        <v>293</v>
      </c>
      <c r="AA167" s="241" t="s">
        <v>1</v>
      </c>
      <c r="AB167" s="316">
        <f>AB159+AB161+AB163+AB165</f>
        <v>0</v>
      </c>
      <c r="AD167" s="313" t="s">
        <v>460</v>
      </c>
      <c r="AG167" s="271"/>
      <c r="AI167" s="527">
        <f>ROUND(AB167,2)</f>
        <v>0</v>
      </c>
    </row>
    <row r="168" spans="2:39">
      <c r="B168" s="269"/>
      <c r="Q168" s="271"/>
      <c r="R168" s="269"/>
      <c r="AG168" s="271"/>
    </row>
    <row r="169" spans="2:39">
      <c r="B169" s="269"/>
      <c r="Q169" s="271"/>
      <c r="R169" s="269"/>
      <c r="S169" s="553" t="s">
        <v>472</v>
      </c>
      <c r="T169" s="552"/>
      <c r="U169" s="552"/>
      <c r="V169" s="554"/>
      <c r="W169" s="552"/>
      <c r="X169" s="552"/>
      <c r="Y169" s="552"/>
      <c r="AB169" s="270"/>
      <c r="AD169" s="328"/>
      <c r="AG169" s="271"/>
    </row>
    <row r="170" spans="2:39">
      <c r="B170" s="269"/>
      <c r="Q170" s="271"/>
      <c r="R170" s="269"/>
      <c r="X170" s="226"/>
      <c r="AG170" s="271"/>
    </row>
    <row r="171" spans="2:39" ht="14.25">
      <c r="B171" s="269"/>
      <c r="Q171" s="271"/>
      <c r="R171" s="269"/>
      <c r="V171" s="288" t="s">
        <v>270</v>
      </c>
      <c r="W171" s="288"/>
      <c r="X171" s="288" t="s">
        <v>240</v>
      </c>
      <c r="Y171" s="288"/>
      <c r="AF171" s="288"/>
      <c r="AG171" s="271"/>
    </row>
    <row r="172" spans="2:39">
      <c r="B172" s="269"/>
      <c r="Q172" s="271"/>
      <c r="R172" s="269"/>
      <c r="V172" s="1" t="s">
        <v>3</v>
      </c>
      <c r="W172" s="1"/>
      <c r="X172" s="1" t="s">
        <v>4</v>
      </c>
      <c r="Y172" s="1"/>
      <c r="AA172" s="1"/>
      <c r="AB172" s="226"/>
      <c r="AF172" s="1"/>
      <c r="AG172" s="271"/>
    </row>
    <row r="173" spans="2:39">
      <c r="B173" s="269"/>
      <c r="Q173" s="271"/>
      <c r="R173" s="269"/>
      <c r="T173" s="270" t="s">
        <v>461</v>
      </c>
      <c r="U173" s="241" t="s">
        <v>1</v>
      </c>
      <c r="V173" s="482">
        <f>AI167</f>
        <v>0</v>
      </c>
      <c r="W173" s="241" t="s">
        <v>2</v>
      </c>
      <c r="X173" s="225">
        <v>200</v>
      </c>
      <c r="AA173" s="241" t="s">
        <v>1</v>
      </c>
      <c r="AB173" s="312">
        <f>V173*X173</f>
        <v>0</v>
      </c>
      <c r="AF173" s="226"/>
      <c r="AG173" s="271"/>
      <c r="AM173" s="264" t="str">
        <f>" [MVS=] [mq]"&amp;V173&amp;" "&amp;W173&amp;" [€/mq] "&amp;X173&amp;" "&amp;AA173&amp;" "&amp;AB173&amp;""&amp; " €"</f>
        <v xml:space="preserve"> [MVS=] [mq]0 x [€/mq] 200 = 0 €</v>
      </c>
    </row>
    <row r="174" spans="2:39" ht="13.5" thickBot="1">
      <c r="B174" s="297"/>
      <c r="C174" s="298"/>
      <c r="D174" s="298"/>
      <c r="E174" s="298"/>
      <c r="F174" s="298"/>
      <c r="G174" s="298"/>
      <c r="H174" s="298"/>
      <c r="I174" s="298"/>
      <c r="J174" s="298"/>
      <c r="K174" s="298"/>
      <c r="L174" s="298"/>
      <c r="M174" s="298"/>
      <c r="N174" s="298"/>
      <c r="O174" s="298"/>
      <c r="P174" s="298"/>
      <c r="Q174" s="299"/>
      <c r="R174" s="297"/>
      <c r="S174" s="298"/>
      <c r="T174" s="298"/>
      <c r="U174" s="298"/>
      <c r="V174" s="298"/>
      <c r="W174" s="298"/>
      <c r="X174" s="298"/>
      <c r="Y174" s="298"/>
      <c r="Z174" s="298"/>
      <c r="AA174" s="298"/>
      <c r="AB174" s="298"/>
      <c r="AC174" s="298"/>
      <c r="AD174" s="298"/>
      <c r="AE174" s="298"/>
      <c r="AF174" s="298"/>
      <c r="AG174" s="299"/>
    </row>
    <row r="175" spans="2:39" ht="12.75" customHeight="1">
      <c r="B175" s="766" t="s">
        <v>608</v>
      </c>
      <c r="C175" s="767"/>
      <c r="D175" s="767"/>
      <c r="E175" s="767"/>
      <c r="F175" s="767"/>
      <c r="G175" s="767"/>
      <c r="H175" s="767"/>
      <c r="I175" s="767"/>
      <c r="J175" s="767"/>
      <c r="K175" s="767"/>
      <c r="L175" s="767"/>
      <c r="M175" s="767"/>
      <c r="N175" s="767"/>
      <c r="O175" s="767"/>
      <c r="P175" s="767"/>
      <c r="Q175" s="768"/>
      <c r="R175" s="665" t="s">
        <v>608</v>
      </c>
      <c r="S175" s="666"/>
      <c r="T175" s="666"/>
      <c r="U175" s="666"/>
      <c r="V175" s="666"/>
      <c r="W175" s="666"/>
      <c r="X175" s="666"/>
      <c r="Y175" s="666"/>
      <c r="Z175" s="666"/>
      <c r="AA175" s="666"/>
      <c r="AB175" s="666"/>
      <c r="AC175" s="666"/>
      <c r="AD175" s="666"/>
      <c r="AE175" s="666"/>
      <c r="AF175" s="667"/>
      <c r="AG175" s="676" t="s">
        <v>547</v>
      </c>
      <c r="AI175" s="263" t="s">
        <v>129</v>
      </c>
      <c r="AJ175" s="335"/>
    </row>
    <row r="176" spans="2:39" ht="12.75" customHeight="1">
      <c r="B176" s="769"/>
      <c r="C176" s="770"/>
      <c r="D176" s="770"/>
      <c r="E176" s="770"/>
      <c r="F176" s="770"/>
      <c r="G176" s="770"/>
      <c r="H176" s="770"/>
      <c r="I176" s="770"/>
      <c r="J176" s="770"/>
      <c r="K176" s="770"/>
      <c r="L176" s="770"/>
      <c r="M176" s="770"/>
      <c r="N176" s="770"/>
      <c r="O176" s="770"/>
      <c r="P176" s="770"/>
      <c r="Q176" s="771"/>
      <c r="R176" s="668"/>
      <c r="S176" s="669"/>
      <c r="T176" s="669"/>
      <c r="U176" s="669"/>
      <c r="V176" s="669"/>
      <c r="W176" s="669"/>
      <c r="X176" s="669"/>
      <c r="Y176" s="669"/>
      <c r="Z176" s="669"/>
      <c r="AA176" s="669"/>
      <c r="AB176" s="669"/>
      <c r="AC176" s="669"/>
      <c r="AD176" s="669"/>
      <c r="AE176" s="669"/>
      <c r="AF176" s="670"/>
      <c r="AG176" s="677"/>
      <c r="AI176" s="263" t="s">
        <v>126</v>
      </c>
      <c r="AJ176" s="335"/>
      <c r="AK176" s="263"/>
    </row>
    <row r="177" spans="2:42" ht="12.75" customHeight="1">
      <c r="B177" s="668" t="s">
        <v>536</v>
      </c>
      <c r="C177" s="669"/>
      <c r="D177" s="669"/>
      <c r="E177" s="669"/>
      <c r="F177" s="669"/>
      <c r="G177" s="669"/>
      <c r="H177" s="669"/>
      <c r="I177" s="669"/>
      <c r="J177" s="669"/>
      <c r="K177" s="669"/>
      <c r="L177" s="669"/>
      <c r="M177" s="669"/>
      <c r="N177" s="669"/>
      <c r="O177" s="669"/>
      <c r="P177" s="669"/>
      <c r="Q177" s="670"/>
      <c r="R177" s="668" t="s">
        <v>536</v>
      </c>
      <c r="S177" s="740"/>
      <c r="T177" s="740"/>
      <c r="U177" s="740"/>
      <c r="V177" s="740"/>
      <c r="W177" s="740"/>
      <c r="X177" s="740"/>
      <c r="Y177" s="740"/>
      <c r="Z177" s="740"/>
      <c r="AA177" s="740"/>
      <c r="AB177" s="740"/>
      <c r="AC177" s="740"/>
      <c r="AD177" s="740"/>
      <c r="AE177" s="740"/>
      <c r="AF177" s="741"/>
      <c r="AG177" s="677"/>
      <c r="AI177" s="263" t="s">
        <v>129</v>
      </c>
      <c r="AJ177" s="335"/>
      <c r="AK177" s="263"/>
    </row>
    <row r="178" spans="2:42" ht="13.5" customHeight="1" thickBot="1">
      <c r="B178" s="668"/>
      <c r="C178" s="669"/>
      <c r="D178" s="669"/>
      <c r="E178" s="669"/>
      <c r="F178" s="669"/>
      <c r="G178" s="669"/>
      <c r="H178" s="669"/>
      <c r="I178" s="669"/>
      <c r="J178" s="669"/>
      <c r="K178" s="669"/>
      <c r="L178" s="669"/>
      <c r="M178" s="669"/>
      <c r="N178" s="669"/>
      <c r="O178" s="669"/>
      <c r="P178" s="669"/>
      <c r="Q178" s="670"/>
      <c r="R178" s="742"/>
      <c r="S178" s="743"/>
      <c r="T178" s="743"/>
      <c r="U178" s="743"/>
      <c r="V178" s="743"/>
      <c r="W178" s="743"/>
      <c r="X178" s="743"/>
      <c r="Y178" s="743"/>
      <c r="Z178" s="743"/>
      <c r="AA178" s="743"/>
      <c r="AB178" s="743"/>
      <c r="AC178" s="743"/>
      <c r="AD178" s="743"/>
      <c r="AE178" s="743"/>
      <c r="AF178" s="744"/>
      <c r="AG178" s="678"/>
      <c r="AI178" s="263" t="s">
        <v>126</v>
      </c>
      <c r="AJ178" s="308"/>
      <c r="AK178" s="263"/>
    </row>
    <row r="179" spans="2:42">
      <c r="B179" s="266"/>
      <c r="C179" s="267"/>
      <c r="D179" s="267"/>
      <c r="E179" s="267"/>
      <c r="F179" s="267"/>
      <c r="G179" s="267"/>
      <c r="H179" s="267"/>
      <c r="I179" s="267"/>
      <c r="J179" s="267"/>
      <c r="K179" s="267"/>
      <c r="L179" s="267"/>
      <c r="M179" s="267"/>
      <c r="N179" s="267"/>
      <c r="O179" s="267"/>
      <c r="P179" s="318"/>
      <c r="Q179" s="307"/>
      <c r="R179" s="266"/>
      <c r="S179" s="267"/>
      <c r="T179" s="267"/>
      <c r="U179" s="267"/>
      <c r="V179" s="267"/>
      <c r="W179" s="267"/>
      <c r="X179" s="267"/>
      <c r="Y179" s="267"/>
      <c r="Z179" s="267"/>
      <c r="AA179" s="267"/>
      <c r="AB179" s="267"/>
      <c r="AC179" s="267"/>
      <c r="AD179" s="267"/>
      <c r="AE179" s="267"/>
      <c r="AF179" s="306"/>
      <c r="AG179" s="307"/>
      <c r="AJ179" s="308"/>
      <c r="AK179" s="263"/>
    </row>
    <row r="180" spans="2:42" ht="15">
      <c r="B180" s="269"/>
      <c r="D180" s="304" t="s">
        <v>535</v>
      </c>
      <c r="G180" s="262"/>
      <c r="I180" s="270"/>
      <c r="K180" s="262"/>
      <c r="P180" s="319"/>
      <c r="Q180" s="311"/>
      <c r="R180" s="269"/>
      <c r="S180" s="304"/>
      <c r="X180" s="304"/>
      <c r="Z180" s="170"/>
      <c r="AA180" s="785" t="s">
        <v>538</v>
      </c>
      <c r="AB180" s="786"/>
      <c r="AC180" s="170"/>
      <c r="AD180" s="170"/>
      <c r="AE180" s="170"/>
      <c r="AF180" s="147"/>
      <c r="AG180" s="541"/>
      <c r="AJ180" s="308"/>
      <c r="AK180" s="263"/>
      <c r="AM180"/>
    </row>
    <row r="181" spans="2:42" ht="18">
      <c r="B181" s="269"/>
      <c r="D181" s="270"/>
      <c r="F181" s="270"/>
      <c r="G181" s="329"/>
      <c r="J181" s="304"/>
      <c r="K181" s="328"/>
      <c r="M181" s="226"/>
      <c r="O181" s="281"/>
      <c r="Q181" s="271"/>
      <c r="R181" s="269"/>
      <c r="S181" s="303"/>
      <c r="T181" s="314" t="s">
        <v>0</v>
      </c>
      <c r="U181" s="270" t="s">
        <v>1</v>
      </c>
      <c r="V181" s="281">
        <f>AF9+AF19+AF29</f>
        <v>0</v>
      </c>
      <c r="W181" s="270"/>
      <c r="X181" s="304" t="s">
        <v>382</v>
      </c>
      <c r="Y181" s="270"/>
      <c r="Z181" s="253"/>
      <c r="AA181" s="783" t="s">
        <v>129</v>
      </c>
      <c r="AB181" s="784"/>
      <c r="AC181" s="542"/>
      <c r="AD181" s="543" t="s">
        <v>560</v>
      </c>
      <c r="AE181" s="170"/>
      <c r="AF181" s="147"/>
      <c r="AG181" s="541"/>
      <c r="AJ181" s="308"/>
      <c r="AK181" s="263"/>
      <c r="AM181"/>
    </row>
    <row r="182" spans="2:42" ht="15">
      <c r="B182" s="269"/>
      <c r="C182" s="324" t="s">
        <v>287</v>
      </c>
      <c r="D182" s="303" t="s">
        <v>568</v>
      </c>
      <c r="H182" s="270"/>
      <c r="J182" s="312"/>
      <c r="M182" s="313"/>
      <c r="Q182" s="271"/>
      <c r="R182" s="269"/>
      <c r="S182" s="303"/>
      <c r="T182" s="314"/>
      <c r="U182" s="270"/>
      <c r="V182" s="281"/>
      <c r="W182" s="270"/>
      <c r="X182" s="304"/>
      <c r="Y182" s="270"/>
      <c r="Z182" s="253"/>
      <c r="AA182" s="781" t="s">
        <v>538</v>
      </c>
      <c r="AB182" s="782"/>
      <c r="AC182" s="170"/>
      <c r="AD182" s="170"/>
      <c r="AE182" s="170"/>
      <c r="AF182" s="170"/>
      <c r="AG182" s="541"/>
      <c r="AJ182" s="308"/>
      <c r="AK182" s="263"/>
      <c r="AM182"/>
    </row>
    <row r="183" spans="2:42" ht="18">
      <c r="B183" s="269"/>
      <c r="C183" s="324" t="s">
        <v>287</v>
      </c>
      <c r="D183" s="303" t="s">
        <v>534</v>
      </c>
      <c r="E183" s="270"/>
      <c r="F183" s="270"/>
      <c r="Q183" s="271"/>
      <c r="R183" s="269"/>
      <c r="S183" s="303"/>
      <c r="T183" s="314" t="s">
        <v>6</v>
      </c>
      <c r="U183" s="270" t="s">
        <v>1</v>
      </c>
      <c r="V183" s="281">
        <f>AF13+AF23+AF33</f>
        <v>0</v>
      </c>
      <c r="W183" s="270"/>
      <c r="X183" s="304" t="s">
        <v>383</v>
      </c>
      <c r="Y183" s="270"/>
      <c r="Z183" s="253"/>
      <c r="AA183" s="783" t="s">
        <v>126</v>
      </c>
      <c r="AB183" s="784"/>
      <c r="AC183" s="542"/>
      <c r="AD183" s="543" t="s">
        <v>561</v>
      </c>
      <c r="AE183" s="170"/>
      <c r="AF183" s="170"/>
      <c r="AG183" s="541"/>
      <c r="AJ183" s="308"/>
      <c r="AK183" s="263"/>
      <c r="AM183"/>
    </row>
    <row r="184" spans="2:42" ht="14.1" customHeight="1">
      <c r="B184" s="269"/>
      <c r="C184" s="324" t="s">
        <v>287</v>
      </c>
      <c r="D184" s="303" t="s">
        <v>555</v>
      </c>
      <c r="I184" s="270"/>
      <c r="J184" s="304"/>
      <c r="K184" s="270"/>
      <c r="N184" s="226"/>
      <c r="P184" s="281"/>
      <c r="Q184" s="271"/>
      <c r="R184" s="269"/>
      <c r="S184" s="303"/>
      <c r="T184" s="314"/>
      <c r="U184" s="270"/>
      <c r="V184" s="281"/>
      <c r="W184" s="270"/>
      <c r="X184" s="304"/>
      <c r="Y184" s="270"/>
      <c r="Z184" s="171"/>
      <c r="AA184" s="538"/>
      <c r="AB184" s="538"/>
      <c r="AC184" s="539"/>
      <c r="AD184" s="538"/>
      <c r="AE184" s="538"/>
      <c r="AF184" s="538"/>
      <c r="AG184" s="540"/>
      <c r="AJ184" s="308"/>
      <c r="AK184" s="263"/>
      <c r="AM184" s="336"/>
    </row>
    <row r="185" spans="2:42">
      <c r="B185" s="269"/>
      <c r="C185" s="327"/>
      <c r="J185" s="304"/>
      <c r="N185" s="313"/>
      <c r="Q185" s="271"/>
      <c r="R185" s="269"/>
      <c r="S185" s="303"/>
      <c r="T185" s="314" t="s">
        <v>11</v>
      </c>
      <c r="U185" s="270" t="s">
        <v>1</v>
      </c>
      <c r="V185" s="281">
        <f>AF46+AF56+AF66</f>
        <v>0</v>
      </c>
      <c r="W185" s="270"/>
      <c r="X185" s="304" t="s">
        <v>384</v>
      </c>
      <c r="Y185" s="270"/>
      <c r="Z185" s="270"/>
      <c r="AC185" s="304"/>
      <c r="AG185" s="271"/>
    </row>
    <row r="186" spans="2:42" ht="15">
      <c r="B186" s="269"/>
      <c r="C186" s="327"/>
      <c r="D186" s="304" t="s">
        <v>562</v>
      </c>
      <c r="J186" s="304"/>
      <c r="Q186" s="271"/>
      <c r="R186" s="269"/>
      <c r="S186" s="303"/>
      <c r="T186" s="314"/>
      <c r="U186" s="270"/>
      <c r="V186" s="281"/>
      <c r="W186" s="270"/>
      <c r="X186" s="304"/>
      <c r="Y186" s="270"/>
      <c r="Z186" s="270"/>
      <c r="AA186" s="241" t="s">
        <v>533</v>
      </c>
      <c r="AC186" s="304"/>
      <c r="AD186" s="401" t="s">
        <v>443</v>
      </c>
      <c r="AE186" s="402"/>
      <c r="AF186" s="544" t="s">
        <v>583</v>
      </c>
      <c r="AG186" s="403"/>
    </row>
    <row r="187" spans="2:42" ht="14.1" customHeight="1">
      <c r="B187" s="269"/>
      <c r="D187" s="303" t="s">
        <v>558</v>
      </c>
      <c r="G187" s="262"/>
      <c r="I187" s="270"/>
      <c r="K187" s="262"/>
      <c r="Q187" s="271"/>
      <c r="R187" s="269"/>
      <c r="S187" s="303"/>
      <c r="T187" s="314" t="s">
        <v>12</v>
      </c>
      <c r="U187" s="270" t="s">
        <v>1</v>
      </c>
      <c r="V187" s="281">
        <f>AF50+AF60+AF70</f>
        <v>0</v>
      </c>
      <c r="W187" s="270"/>
      <c r="X187" s="304" t="s">
        <v>385</v>
      </c>
      <c r="Y187" s="270"/>
      <c r="Z187" s="270"/>
      <c r="AC187" s="304"/>
      <c r="AD187" s="404" t="s">
        <v>386</v>
      </c>
      <c r="AE187" s="405" t="s">
        <v>1</v>
      </c>
      <c r="AF187" s="460">
        <v>0</v>
      </c>
      <c r="AG187" s="406"/>
      <c r="AI187" s="263">
        <f>AF187</f>
        <v>0</v>
      </c>
      <c r="AJ187" s="308" t="s">
        <v>312</v>
      </c>
    </row>
    <row r="188" spans="2:42">
      <c r="B188" s="269"/>
      <c r="D188" s="303" t="s">
        <v>559</v>
      </c>
      <c r="F188" s="270"/>
      <c r="G188" s="329"/>
      <c r="J188" s="304"/>
      <c r="K188" s="328"/>
      <c r="M188" s="226"/>
      <c r="O188" s="281"/>
      <c r="Q188" s="271"/>
      <c r="R188" s="269"/>
      <c r="S188" s="303"/>
      <c r="T188" s="314"/>
      <c r="U188" s="270"/>
      <c r="V188" s="281"/>
      <c r="W188" s="270"/>
      <c r="X188" s="304"/>
      <c r="Y188" s="270"/>
      <c r="Z188" s="270"/>
      <c r="AC188" s="304"/>
      <c r="AD188" s="407"/>
      <c r="AE188" s="405"/>
      <c r="AF188" s="408"/>
      <c r="AG188" s="406"/>
      <c r="AI188" s="263">
        <f>AF200</f>
        <v>0</v>
      </c>
      <c r="AJ188" s="308" t="s">
        <v>399</v>
      </c>
    </row>
    <row r="189" spans="2:42" ht="14.1" customHeight="1">
      <c r="B189" s="269"/>
      <c r="C189" s="324"/>
      <c r="D189" s="303"/>
      <c r="H189" s="270"/>
      <c r="J189" s="312"/>
      <c r="M189" s="313"/>
      <c r="Q189" s="271"/>
      <c r="R189" s="269"/>
      <c r="S189" s="303"/>
      <c r="T189" s="314" t="s">
        <v>308</v>
      </c>
      <c r="U189" s="270" t="s">
        <v>1</v>
      </c>
      <c r="V189" s="281">
        <f>X107</f>
        <v>0</v>
      </c>
      <c r="W189" s="270"/>
      <c r="X189" s="304" t="s">
        <v>387</v>
      </c>
      <c r="Y189" s="270"/>
      <c r="Z189" s="270"/>
      <c r="AC189" s="304"/>
      <c r="AD189" s="409" t="s">
        <v>388</v>
      </c>
      <c r="AE189" s="405"/>
      <c r="AF189" s="408"/>
      <c r="AG189" s="406"/>
    </row>
    <row r="190" spans="2:42" ht="12.75" customHeight="1">
      <c r="B190" s="269"/>
      <c r="C190" s="324"/>
      <c r="D190" s="304" t="s">
        <v>563</v>
      </c>
      <c r="E190" s="270"/>
      <c r="F190" s="270"/>
      <c r="Q190" s="271"/>
      <c r="R190" s="269"/>
      <c r="S190" s="303"/>
      <c r="T190" s="314"/>
      <c r="U190" s="270"/>
      <c r="V190" s="281"/>
      <c r="W190" s="270"/>
      <c r="X190" s="304"/>
      <c r="Y190" s="270"/>
      <c r="Z190" s="270"/>
      <c r="AC190" s="304"/>
      <c r="AD190" s="409" t="s">
        <v>389</v>
      </c>
      <c r="AE190" s="405"/>
      <c r="AF190" s="408"/>
      <c r="AG190" s="410"/>
      <c r="AI190" s="332"/>
    </row>
    <row r="191" spans="2:42">
      <c r="B191" s="269"/>
      <c r="D191" s="303" t="s">
        <v>556</v>
      </c>
      <c r="I191" s="270"/>
      <c r="J191" s="304"/>
      <c r="K191" s="270"/>
      <c r="N191" s="226"/>
      <c r="P191" s="281"/>
      <c r="Q191" s="271"/>
      <c r="R191" s="269"/>
      <c r="S191" s="303"/>
      <c r="T191" s="294" t="s">
        <v>312</v>
      </c>
      <c r="U191" s="294" t="s">
        <v>1</v>
      </c>
      <c r="V191" s="481">
        <f>AF187</f>
        <v>0</v>
      </c>
      <c r="W191" s="294"/>
      <c r="X191" s="422" t="s">
        <v>390</v>
      </c>
      <c r="Y191" s="294"/>
      <c r="Z191" s="294"/>
      <c r="AD191" s="413" t="s">
        <v>391</v>
      </c>
      <c r="AE191" s="414"/>
      <c r="AF191" s="415"/>
      <c r="AG191" s="416"/>
    </row>
    <row r="192" spans="2:42">
      <c r="B192" s="269"/>
      <c r="C192" s="324"/>
      <c r="D192" s="303" t="s">
        <v>557</v>
      </c>
      <c r="J192" s="304"/>
      <c r="N192" s="313"/>
      <c r="Q192" s="271"/>
      <c r="R192" s="269"/>
      <c r="S192" s="304"/>
      <c r="X192" s="304"/>
      <c r="AC192" s="304"/>
      <c r="AG192" s="271"/>
      <c r="AP192" s="571" t="str">
        <f>AM195&amp;CHAR(10)&amp;AM196&amp;CHAR(10)&amp;AM197&amp;CHAR(10)&amp;AM198</f>
        <v xml:space="preserve"> [Oblazione = Cdc x 2] 0
 [Oblazione = Cdc x 1] 0
 [Oblazione = Cdc x 2 + maggiorazione 20%] 0
 [Oblazione = Cdc x 1 + maggiorazione 20%] 0</v>
      </c>
    </row>
    <row r="193" spans="2:39" ht="15" customHeight="1">
      <c r="B193" s="269"/>
      <c r="C193" s="327"/>
      <c r="Q193" s="271"/>
      <c r="R193" s="269"/>
      <c r="S193" s="304"/>
      <c r="T193" s="314" t="s">
        <v>585</v>
      </c>
      <c r="U193" s="270" t="s">
        <v>1</v>
      </c>
      <c r="V193" s="281">
        <f>V181+V183+V185+V187+V189+V191</f>
        <v>0</v>
      </c>
      <c r="W193" s="270"/>
      <c r="X193" s="304" t="s">
        <v>317</v>
      </c>
      <c r="Y193" s="270"/>
      <c r="Z193" s="270"/>
      <c r="AG193" s="271"/>
    </row>
    <row r="194" spans="2:39">
      <c r="B194" s="269"/>
      <c r="C194" s="320"/>
      <c r="D194" s="313" t="s">
        <v>569</v>
      </c>
      <c r="G194" s="262"/>
      <c r="I194" s="270"/>
      <c r="K194" s="262"/>
      <c r="Q194" s="271"/>
      <c r="R194" s="269"/>
      <c r="Z194" s="500" t="str">
        <f>IF(AA181="Lettera a)","Lett a) Moltiplicare x 1 solo in caso di esonero dal CdC (art. 32 L.R. 15/2013)","")</f>
        <v/>
      </c>
      <c r="AA194" s="171"/>
      <c r="AF194" s="417"/>
      <c r="AG194" s="271"/>
      <c r="AI194" s="359"/>
    </row>
    <row r="195" spans="2:39">
      <c r="B195" s="269"/>
      <c r="D195" s="313" t="s">
        <v>564</v>
      </c>
      <c r="G195" s="329"/>
      <c r="J195" s="304"/>
      <c r="K195" s="328"/>
      <c r="M195" s="226"/>
      <c r="O195" s="281"/>
      <c r="Q195" s="271"/>
      <c r="R195" s="269"/>
      <c r="S195" s="555"/>
      <c r="T195" s="304" t="s">
        <v>540</v>
      </c>
      <c r="X195" s="537"/>
      <c r="Z195" s="270"/>
      <c r="AA195" s="270"/>
      <c r="AB195" s="281">
        <f>IF(AND(AA181="SI",AA183="NO"),AI195,0)</f>
        <v>0</v>
      </c>
      <c r="AD195" s="418" t="s">
        <v>465</v>
      </c>
      <c r="AE195" s="419"/>
      <c r="AG195" s="271"/>
      <c r="AI195" s="331">
        <f>V193*2</f>
        <v>0</v>
      </c>
      <c r="AJ195" s="264" t="s">
        <v>542</v>
      </c>
      <c r="AM195" s="264" t="str">
        <f>" [Oblazione = Cdc x 2] "&amp;AB195</f>
        <v xml:space="preserve"> [Oblazione = Cdc x 2] 0</v>
      </c>
    </row>
    <row r="196" spans="2:39">
      <c r="B196" s="269"/>
      <c r="D196" s="313" t="s">
        <v>565</v>
      </c>
      <c r="F196" s="270"/>
      <c r="G196" s="328"/>
      <c r="H196" s="270"/>
      <c r="J196" s="312"/>
      <c r="K196" s="328"/>
      <c r="M196" s="313"/>
      <c r="Q196" s="271"/>
      <c r="R196" s="269"/>
      <c r="S196" s="555"/>
      <c r="T196" s="304" t="s">
        <v>541</v>
      </c>
      <c r="AB196" s="281">
        <f>IF(AND(AA181="SI",AA183="SI"),AI196,0)</f>
        <v>0</v>
      </c>
      <c r="AC196" s="270"/>
      <c r="AD196" s="270"/>
      <c r="AG196" s="271"/>
      <c r="AI196" s="331">
        <f>V193</f>
        <v>0</v>
      </c>
      <c r="AJ196" s="264" t="s">
        <v>543</v>
      </c>
      <c r="AM196" s="264" t="str">
        <f>" [Oblazione = Cdc x 1] "&amp;AB196</f>
        <v xml:space="preserve"> [Oblazione = Cdc x 1] 0</v>
      </c>
    </row>
    <row r="197" spans="2:39">
      <c r="B197" s="269"/>
      <c r="D197" s="313" t="s">
        <v>566</v>
      </c>
      <c r="Q197" s="271"/>
      <c r="R197" s="269"/>
      <c r="S197" s="555"/>
      <c r="T197" s="304" t="s">
        <v>570</v>
      </c>
      <c r="AB197" s="545">
        <f>IF(AND(AA181="NO",AA183="NO"),AI197,0)</f>
        <v>0</v>
      </c>
      <c r="AD197" s="418" t="s">
        <v>464</v>
      </c>
      <c r="AG197" s="271"/>
      <c r="AI197" s="263">
        <f>V193*2*1.2</f>
        <v>0</v>
      </c>
      <c r="AJ197" s="264" t="s">
        <v>544</v>
      </c>
      <c r="AK197" s="536"/>
      <c r="AM197" s="264" t="str">
        <f>" [Oblazione = Cdc x 2 + maggiorazione 20%] "&amp;AB197</f>
        <v xml:space="preserve"> [Oblazione = Cdc x 2 + maggiorazione 20%] 0</v>
      </c>
    </row>
    <row r="198" spans="2:39" ht="14.1" customHeight="1">
      <c r="B198" s="269"/>
      <c r="C198" s="324"/>
      <c r="D198" s="313" t="s">
        <v>567</v>
      </c>
      <c r="Q198" s="271"/>
      <c r="R198" s="269"/>
      <c r="S198" s="555"/>
      <c r="T198" s="304" t="s">
        <v>571</v>
      </c>
      <c r="X198" s="537"/>
      <c r="Z198" s="270"/>
      <c r="AA198" s="270"/>
      <c r="AB198" s="281">
        <f>IF(AND(AA181="NO",AA183="SI"),AI198,0)</f>
        <v>0</v>
      </c>
      <c r="AC198" s="304"/>
      <c r="AG198" s="271"/>
      <c r="AI198" s="263">
        <f>V193*1.2</f>
        <v>0</v>
      </c>
      <c r="AJ198" s="264" t="s">
        <v>545</v>
      </c>
      <c r="AM198" s="264" t="str">
        <f>" [Oblazione = Cdc x 1 + maggiorazione 20%] "&amp;AB198</f>
        <v xml:space="preserve"> [Oblazione = Cdc x 1 + maggiorazione 20%] 0</v>
      </c>
    </row>
    <row r="199" spans="2:39">
      <c r="B199" s="269"/>
      <c r="C199" s="324"/>
      <c r="D199" s="303"/>
      <c r="E199" s="270"/>
      <c r="F199" s="270"/>
      <c r="I199" s="270"/>
      <c r="J199" s="304"/>
      <c r="K199" s="270"/>
      <c r="N199" s="226"/>
      <c r="Q199" s="271"/>
      <c r="R199" s="269"/>
      <c r="S199" s="304"/>
      <c r="AD199" s="401" t="s">
        <v>444</v>
      </c>
      <c r="AE199" s="402"/>
      <c r="AF199" s="544" t="s">
        <v>583</v>
      </c>
      <c r="AG199" s="403"/>
      <c r="AK199" s="536"/>
    </row>
    <row r="200" spans="2:39" ht="14.1" customHeight="1">
      <c r="B200" s="269"/>
      <c r="C200" s="324"/>
      <c r="D200" s="303"/>
      <c r="J200" s="304"/>
      <c r="N200" s="313"/>
      <c r="Q200" s="271"/>
      <c r="R200" s="269"/>
      <c r="S200" s="304"/>
      <c r="T200" s="534" t="s">
        <v>537</v>
      </c>
      <c r="U200" s="420"/>
      <c r="V200" s="420"/>
      <c r="W200" s="420"/>
      <c r="X200" s="535"/>
      <c r="Y200" s="420"/>
      <c r="Z200" s="421"/>
      <c r="AA200" s="421"/>
      <c r="AB200" s="556">
        <f>SUM(AB195:AB198)</f>
        <v>0</v>
      </c>
      <c r="AD200" s="404" t="s">
        <v>392</v>
      </c>
      <c r="AE200" s="405" t="s">
        <v>1</v>
      </c>
      <c r="AF200" s="460">
        <v>0</v>
      </c>
      <c r="AG200" s="406"/>
      <c r="AL200" s="331"/>
    </row>
    <row r="201" spans="2:39">
      <c r="B201" s="269"/>
      <c r="Q201" s="271"/>
      <c r="R201" s="269"/>
      <c r="S201" s="304"/>
      <c r="AC201" s="304"/>
      <c r="AD201" s="407"/>
      <c r="AE201" s="405"/>
      <c r="AF201" s="408"/>
      <c r="AG201" s="406"/>
    </row>
    <row r="202" spans="2:39">
      <c r="B202" s="269"/>
      <c r="C202" s="324"/>
      <c r="D202" s="313"/>
      <c r="Q202" s="271"/>
      <c r="R202" s="269"/>
      <c r="S202" s="304"/>
      <c r="T202" s="303" t="s">
        <v>380</v>
      </c>
      <c r="U202" s="241" t="s">
        <v>1</v>
      </c>
      <c r="V202" s="303" t="s">
        <v>375</v>
      </c>
      <c r="AB202" s="352">
        <f>AF131</f>
        <v>0</v>
      </c>
      <c r="AC202" s="304"/>
      <c r="AD202" s="409" t="s">
        <v>393</v>
      </c>
      <c r="AE202" s="405"/>
      <c r="AF202" s="408"/>
      <c r="AG202" s="406"/>
      <c r="AL202" s="331"/>
    </row>
    <row r="203" spans="2:39">
      <c r="B203" s="269"/>
      <c r="C203" s="324"/>
      <c r="D203" s="313"/>
      <c r="Q203" s="271"/>
      <c r="R203" s="269"/>
      <c r="S203" s="304"/>
      <c r="T203" s="303" t="s">
        <v>20</v>
      </c>
      <c r="U203" s="241" t="s">
        <v>1</v>
      </c>
      <c r="V203" s="303" t="s">
        <v>584</v>
      </c>
      <c r="AB203" s="352">
        <f>AB131+AB148</f>
        <v>0</v>
      </c>
      <c r="AC203" s="304"/>
      <c r="AD203" s="409" t="s">
        <v>394</v>
      </c>
      <c r="AE203" s="405"/>
      <c r="AF203" s="408"/>
      <c r="AG203" s="406"/>
    </row>
    <row r="204" spans="2:39">
      <c r="B204" s="269"/>
      <c r="C204" s="320"/>
      <c r="D204" s="303"/>
      <c r="Q204" s="271"/>
      <c r="R204" s="269"/>
      <c r="S204" s="304"/>
      <c r="T204" s="491" t="s">
        <v>461</v>
      </c>
      <c r="U204" s="293" t="s">
        <v>1</v>
      </c>
      <c r="V204" s="491" t="s">
        <v>463</v>
      </c>
      <c r="W204" s="293"/>
      <c r="X204" s="293"/>
      <c r="Y204" s="293"/>
      <c r="Z204" s="293"/>
      <c r="AA204" s="293"/>
      <c r="AB204" s="411">
        <f>AB173</f>
        <v>0</v>
      </c>
      <c r="AC204" s="304"/>
      <c r="AD204" s="413" t="s">
        <v>391</v>
      </c>
      <c r="AE204" s="414"/>
      <c r="AF204" s="415"/>
      <c r="AG204" s="416"/>
    </row>
    <row r="205" spans="2:39">
      <c r="B205" s="269"/>
      <c r="Q205" s="271"/>
      <c r="R205" s="269"/>
      <c r="S205" s="304"/>
      <c r="T205" s="304" t="s">
        <v>395</v>
      </c>
      <c r="U205" s="241" t="s">
        <v>1</v>
      </c>
      <c r="V205" s="304" t="s">
        <v>396</v>
      </c>
      <c r="W205" s="314"/>
      <c r="AB205" s="281">
        <f>AB202+AB203+AB204</f>
        <v>0</v>
      </c>
      <c r="AC205" s="304"/>
      <c r="AG205" s="271"/>
      <c r="AI205" s="331"/>
    </row>
    <row r="206" spans="2:39" ht="14.1" customHeight="1">
      <c r="B206" s="269"/>
      <c r="Q206" s="271"/>
      <c r="R206" s="269"/>
      <c r="AC206" s="304"/>
      <c r="AG206" s="478" t="s">
        <v>445</v>
      </c>
    </row>
    <row r="207" spans="2:39" ht="15" customHeight="1">
      <c r="B207" s="269"/>
      <c r="Q207" s="271"/>
      <c r="R207" s="269"/>
      <c r="S207" s="293"/>
      <c r="T207" s="422" t="s">
        <v>399</v>
      </c>
      <c r="U207" s="294" t="s">
        <v>1</v>
      </c>
      <c r="V207" s="422" t="s">
        <v>402</v>
      </c>
      <c r="W207" s="294"/>
      <c r="X207" s="422"/>
      <c r="Y207" s="294"/>
      <c r="Z207" s="294"/>
      <c r="AA207" s="293"/>
      <c r="AB207" s="550">
        <f>AF200</f>
        <v>0</v>
      </c>
      <c r="AG207" s="478" t="s">
        <v>446</v>
      </c>
    </row>
    <row r="208" spans="2:39">
      <c r="B208" s="269"/>
      <c r="Q208" s="271"/>
      <c r="R208" s="269"/>
      <c r="S208" s="304"/>
      <c r="AC208" s="304"/>
      <c r="AG208" s="478" t="s">
        <v>441</v>
      </c>
    </row>
    <row r="209" spans="2:37" ht="14.1" customHeight="1">
      <c r="B209" s="269"/>
      <c r="Q209" s="271"/>
      <c r="R209" s="269"/>
      <c r="T209" s="304" t="s">
        <v>397</v>
      </c>
      <c r="X209" s="304"/>
      <c r="AA209" s="241" t="s">
        <v>1</v>
      </c>
      <c r="AB209" s="281">
        <f>AB200+AB205+AF200</f>
        <v>0</v>
      </c>
      <c r="AC209" s="304"/>
      <c r="AG209" s="479" t="s">
        <v>442</v>
      </c>
      <c r="AI209" s="263">
        <f>AB209</f>
        <v>0</v>
      </c>
      <c r="AJ209" s="308" t="s">
        <v>403</v>
      </c>
    </row>
    <row r="210" spans="2:37">
      <c r="B210" s="269"/>
      <c r="Q210" s="271"/>
      <c r="R210" s="269"/>
      <c r="AE210" s="423"/>
      <c r="AG210" s="271"/>
      <c r="AI210" s="263">
        <f>AB209-AF200</f>
        <v>0</v>
      </c>
      <c r="AJ210" s="308" t="s">
        <v>404</v>
      </c>
    </row>
    <row r="211" spans="2:37" ht="14.1" customHeight="1" thickBot="1">
      <c r="B211" s="297"/>
      <c r="C211" s="298"/>
      <c r="D211" s="298"/>
      <c r="E211" s="298"/>
      <c r="F211" s="298"/>
      <c r="G211" s="298"/>
      <c r="H211" s="298"/>
      <c r="I211" s="298"/>
      <c r="J211" s="298"/>
      <c r="K211" s="298"/>
      <c r="L211" s="298"/>
      <c r="M211" s="298"/>
      <c r="N211" s="298"/>
      <c r="O211" s="298"/>
      <c r="P211" s="298"/>
      <c r="Q211" s="299"/>
      <c r="R211" s="297"/>
      <c r="S211" s="353"/>
      <c r="T211" s="298"/>
      <c r="U211" s="298"/>
      <c r="V211" s="298"/>
      <c r="W211" s="298"/>
      <c r="X211" s="353"/>
      <c r="Y211" s="298"/>
      <c r="Z211" s="298"/>
      <c r="AA211" s="298"/>
      <c r="AB211" s="298"/>
      <c r="AC211" s="353"/>
      <c r="AD211" s="354"/>
      <c r="AE211" s="298"/>
      <c r="AF211" s="298"/>
      <c r="AG211" s="299"/>
      <c r="AI211" s="325"/>
    </row>
    <row r="212" spans="2:37" ht="12.75" customHeight="1">
      <c r="B212" s="766" t="s">
        <v>607</v>
      </c>
      <c r="C212" s="767"/>
      <c r="D212" s="767"/>
      <c r="E212" s="767"/>
      <c r="F212" s="767"/>
      <c r="G212" s="767"/>
      <c r="H212" s="767"/>
      <c r="I212" s="767"/>
      <c r="J212" s="767"/>
      <c r="K212" s="767"/>
      <c r="L212" s="767"/>
      <c r="M212" s="767"/>
      <c r="N212" s="767"/>
      <c r="O212" s="767"/>
      <c r="P212" s="767"/>
      <c r="Q212" s="768"/>
      <c r="R212" s="665" t="s">
        <v>608</v>
      </c>
      <c r="S212" s="666"/>
      <c r="T212" s="666"/>
      <c r="U212" s="666"/>
      <c r="V212" s="666"/>
      <c r="W212" s="666"/>
      <c r="X212" s="666"/>
      <c r="Y212" s="666"/>
      <c r="Z212" s="666"/>
      <c r="AA212" s="666"/>
      <c r="AB212" s="666"/>
      <c r="AC212" s="666"/>
      <c r="AD212" s="666"/>
      <c r="AE212" s="666"/>
      <c r="AF212" s="667"/>
      <c r="AG212" s="673" t="s">
        <v>546</v>
      </c>
      <c r="AJ212" s="263"/>
      <c r="AK212" s="263"/>
    </row>
    <row r="213" spans="2:37" ht="12.75" customHeight="1">
      <c r="B213" s="769"/>
      <c r="C213" s="770"/>
      <c r="D213" s="770"/>
      <c r="E213" s="770"/>
      <c r="F213" s="770"/>
      <c r="G213" s="770"/>
      <c r="H213" s="770"/>
      <c r="I213" s="770"/>
      <c r="J213" s="770"/>
      <c r="K213" s="770"/>
      <c r="L213" s="770"/>
      <c r="M213" s="770"/>
      <c r="N213" s="770"/>
      <c r="O213" s="770"/>
      <c r="P213" s="770"/>
      <c r="Q213" s="771"/>
      <c r="R213" s="668"/>
      <c r="S213" s="669"/>
      <c r="T213" s="669"/>
      <c r="U213" s="669"/>
      <c r="V213" s="669"/>
      <c r="W213" s="669"/>
      <c r="X213" s="669"/>
      <c r="Y213" s="669"/>
      <c r="Z213" s="669"/>
      <c r="AA213" s="669"/>
      <c r="AB213" s="669"/>
      <c r="AC213" s="669"/>
      <c r="AD213" s="669"/>
      <c r="AE213" s="669"/>
      <c r="AF213" s="670"/>
      <c r="AG213" s="674"/>
      <c r="AJ213" s="335"/>
      <c r="AK213" s="263"/>
    </row>
    <row r="214" spans="2:37" ht="12.75" customHeight="1">
      <c r="B214" s="668" t="s">
        <v>539</v>
      </c>
      <c r="C214" s="669"/>
      <c r="D214" s="669"/>
      <c r="E214" s="669"/>
      <c r="F214" s="669"/>
      <c r="G214" s="669"/>
      <c r="H214" s="669"/>
      <c r="I214" s="669"/>
      <c r="J214" s="669"/>
      <c r="K214" s="669"/>
      <c r="L214" s="669"/>
      <c r="M214" s="669"/>
      <c r="N214" s="669"/>
      <c r="O214" s="669"/>
      <c r="P214" s="669"/>
      <c r="Q214" s="670"/>
      <c r="R214" s="668" t="s">
        <v>539</v>
      </c>
      <c r="S214" s="669"/>
      <c r="T214" s="669"/>
      <c r="U214" s="669"/>
      <c r="V214" s="669"/>
      <c r="W214" s="669"/>
      <c r="X214" s="669"/>
      <c r="Y214" s="669"/>
      <c r="Z214" s="669"/>
      <c r="AA214" s="669"/>
      <c r="AB214" s="669"/>
      <c r="AC214" s="669"/>
      <c r="AD214" s="669"/>
      <c r="AE214" s="669"/>
      <c r="AF214" s="670"/>
      <c r="AG214" s="674"/>
      <c r="AJ214" s="335"/>
      <c r="AK214" s="263"/>
    </row>
    <row r="215" spans="2:37" ht="13.5" customHeight="1" thickBot="1">
      <c r="B215" s="668"/>
      <c r="C215" s="669"/>
      <c r="D215" s="669"/>
      <c r="E215" s="669"/>
      <c r="F215" s="669"/>
      <c r="G215" s="669"/>
      <c r="H215" s="669"/>
      <c r="I215" s="669"/>
      <c r="J215" s="669"/>
      <c r="K215" s="669"/>
      <c r="L215" s="669"/>
      <c r="M215" s="669"/>
      <c r="N215" s="669"/>
      <c r="O215" s="669"/>
      <c r="P215" s="669"/>
      <c r="Q215" s="670"/>
      <c r="R215" s="778"/>
      <c r="S215" s="779"/>
      <c r="T215" s="779"/>
      <c r="U215" s="779"/>
      <c r="V215" s="779"/>
      <c r="W215" s="779"/>
      <c r="X215" s="779"/>
      <c r="Y215" s="779"/>
      <c r="Z215" s="779"/>
      <c r="AA215" s="779"/>
      <c r="AB215" s="779"/>
      <c r="AC215" s="779"/>
      <c r="AD215" s="779"/>
      <c r="AE215" s="779"/>
      <c r="AF215" s="780"/>
      <c r="AG215" s="675"/>
      <c r="AJ215" s="308"/>
      <c r="AK215" s="263"/>
    </row>
    <row r="216" spans="2:37" ht="15">
      <c r="B216" s="266"/>
      <c r="C216" s="267"/>
      <c r="D216" s="267"/>
      <c r="E216" s="267"/>
      <c r="F216" s="267"/>
      <c r="G216" s="267"/>
      <c r="H216" s="267"/>
      <c r="I216" s="267"/>
      <c r="J216" s="267"/>
      <c r="K216" s="267"/>
      <c r="L216" s="267"/>
      <c r="M216" s="267"/>
      <c r="N216" s="267"/>
      <c r="O216" s="267"/>
      <c r="P216" s="318"/>
      <c r="Q216" s="307"/>
      <c r="R216" s="347"/>
      <c r="S216" s="348"/>
      <c r="T216" s="348"/>
      <c r="U216" s="348"/>
      <c r="V216" s="348"/>
      <c r="W216" s="348"/>
      <c r="X216" s="348"/>
      <c r="Y216" s="348"/>
      <c r="Z216" s="348"/>
      <c r="AA216" s="348"/>
      <c r="AB216" s="348"/>
      <c r="AC216" s="348"/>
      <c r="AD216" s="348"/>
      <c r="AE216" s="348"/>
      <c r="AF216" s="348"/>
      <c r="AG216" s="349"/>
      <c r="AJ216" s="308"/>
      <c r="AK216" s="263"/>
    </row>
    <row r="217" spans="2:37" ht="15">
      <c r="B217" s="269"/>
      <c r="D217" s="304" t="s">
        <v>305</v>
      </c>
      <c r="J217" s="304"/>
      <c r="P217" s="319"/>
      <c r="Q217" s="311"/>
      <c r="R217" s="350"/>
      <c r="S217" s="346"/>
      <c r="T217" s="346"/>
      <c r="U217" s="346"/>
      <c r="V217" s="346"/>
      <c r="W217" s="346"/>
      <c r="X217" s="346"/>
      <c r="Y217" s="346"/>
      <c r="Z217" s="346"/>
      <c r="AA217" s="346"/>
      <c r="AB217" s="346"/>
      <c r="AC217" s="346"/>
      <c r="AD217" s="346"/>
      <c r="AE217" s="346"/>
      <c r="AF217" s="346"/>
      <c r="AG217" s="351"/>
      <c r="AI217" s="547" t="s">
        <v>573</v>
      </c>
      <c r="AJ217" s="308"/>
      <c r="AK217" s="263"/>
    </row>
    <row r="218" spans="2:37">
      <c r="B218" s="269"/>
      <c r="D218" s="270"/>
      <c r="F218" s="270"/>
      <c r="H218" s="270"/>
      <c r="J218" s="312"/>
      <c r="M218" s="226"/>
      <c r="O218" s="281"/>
      <c r="Q218" s="271"/>
      <c r="R218" s="269"/>
      <c r="AF218" s="310"/>
      <c r="AG218" s="311"/>
      <c r="AI218" s="547" t="s">
        <v>574</v>
      </c>
      <c r="AJ218" s="308"/>
      <c r="AK218" s="263"/>
    </row>
    <row r="219" spans="2:37" ht="15">
      <c r="B219" s="269"/>
      <c r="D219" s="477" t="s">
        <v>294</v>
      </c>
      <c r="M219" s="313"/>
      <c r="Q219" s="271"/>
      <c r="R219" s="269"/>
      <c r="S219" s="546" t="s">
        <v>316</v>
      </c>
      <c r="X219" s="288"/>
      <c r="Y219" s="774" t="s">
        <v>580</v>
      </c>
      <c r="Z219" s="611"/>
      <c r="AA219" s="611"/>
      <c r="AB219" s="611"/>
      <c r="AC219" s="611"/>
      <c r="AD219" s="611"/>
      <c r="AE219" s="612"/>
      <c r="AF219" s="671" t="s">
        <v>126</v>
      </c>
      <c r="AG219" s="311"/>
      <c r="AI219" s="547" t="s">
        <v>575</v>
      </c>
      <c r="AJ219" s="308"/>
      <c r="AK219" s="263"/>
    </row>
    <row r="220" spans="2:37" ht="15">
      <c r="B220" s="269"/>
      <c r="C220" s="320" t="s">
        <v>306</v>
      </c>
      <c r="D220" s="303" t="s">
        <v>400</v>
      </c>
      <c r="E220" s="270"/>
      <c r="F220" s="270"/>
      <c r="I220" s="270"/>
      <c r="J220" s="304" t="s">
        <v>307</v>
      </c>
      <c r="Q220" s="271"/>
      <c r="R220" s="269"/>
      <c r="S220" s="772"/>
      <c r="T220" s="772"/>
      <c r="U220" s="772"/>
      <c r="V220" s="723"/>
      <c r="W220" s="723"/>
      <c r="X220" s="773"/>
      <c r="Y220" s="775"/>
      <c r="Z220" s="776"/>
      <c r="AA220" s="776"/>
      <c r="AB220" s="776"/>
      <c r="AC220" s="776"/>
      <c r="AD220" s="776"/>
      <c r="AE220" s="777"/>
      <c r="AF220" s="672"/>
      <c r="AG220" s="271"/>
      <c r="AJ220" s="308"/>
      <c r="AK220" s="263"/>
    </row>
    <row r="221" spans="2:37" ht="15">
      <c r="B221" s="269"/>
      <c r="C221" s="320" t="s">
        <v>306</v>
      </c>
      <c r="D221" s="303" t="s">
        <v>401</v>
      </c>
      <c r="J221" s="304" t="s">
        <v>308</v>
      </c>
      <c r="K221" s="270"/>
      <c r="N221" s="226"/>
      <c r="P221" s="281"/>
      <c r="Q221" s="271"/>
      <c r="R221" s="269"/>
      <c r="S221" s="772" t="s">
        <v>572</v>
      </c>
      <c r="T221" s="772"/>
      <c r="U221" s="772"/>
      <c r="V221" s="723"/>
      <c r="W221" s="723"/>
      <c r="X221" s="773"/>
      <c r="Y221" s="763" t="s">
        <v>578</v>
      </c>
      <c r="Z221" s="764"/>
      <c r="AA221" s="764"/>
      <c r="AB221" s="764"/>
      <c r="AC221" s="764"/>
      <c r="AD221" s="764"/>
      <c r="AE221" s="764"/>
      <c r="AF221" s="765"/>
      <c r="AG221" s="271"/>
      <c r="AJ221" s="308"/>
      <c r="AK221" s="263"/>
    </row>
    <row r="222" spans="2:37">
      <c r="B222" s="269"/>
      <c r="C222" s="320" t="s">
        <v>306</v>
      </c>
      <c r="D222" s="303" t="s">
        <v>309</v>
      </c>
      <c r="J222" s="304" t="s">
        <v>11</v>
      </c>
      <c r="N222" s="313"/>
      <c r="Q222" s="271"/>
      <c r="R222" s="269"/>
      <c r="W222" s="343"/>
      <c r="X222" s="288"/>
      <c r="Y222" s="321" t="s">
        <v>303</v>
      </c>
      <c r="Z222" s="301"/>
      <c r="AA222" s="273"/>
      <c r="AB222" s="301"/>
      <c r="AC222" s="274"/>
      <c r="AD222" s="301"/>
      <c r="AE222" s="274"/>
      <c r="AF222" s="660">
        <f>IF(V231&lt;5000.01,0,AI222)</f>
        <v>0</v>
      </c>
      <c r="AG222" s="271"/>
      <c r="AI222" s="331">
        <f>IF(AF219="NO",0,V231/2)</f>
        <v>0</v>
      </c>
    </row>
    <row r="223" spans="2:37" ht="14.1" customHeight="1">
      <c r="B223" s="269"/>
      <c r="C223" s="320" t="s">
        <v>306</v>
      </c>
      <c r="D223" s="303" t="s">
        <v>310</v>
      </c>
      <c r="F223" s="270"/>
      <c r="J223" s="304" t="s">
        <v>12</v>
      </c>
      <c r="Q223" s="271"/>
      <c r="R223" s="269"/>
      <c r="S223" s="548" t="str">
        <f>IF(AA181="NO",AI218,IF(AA181="SI",AI217," "))</f>
        <v>SANATORIA CON DOPPIA CONFORMITA'</v>
      </c>
      <c r="T223" s="356"/>
      <c r="X223" s="288"/>
      <c r="Y223" s="322" t="s">
        <v>553</v>
      </c>
      <c r="Z223" s="293"/>
      <c r="AA223" s="293"/>
      <c r="AB223" s="323"/>
      <c r="AC223" s="323"/>
      <c r="AD223" s="293"/>
      <c r="AE223" s="323"/>
      <c r="AF223" s="661"/>
      <c r="AG223" s="271"/>
      <c r="AI223" s="331"/>
    </row>
    <row r="224" spans="2:37">
      <c r="B224" s="269"/>
      <c r="C224" s="425" t="s">
        <v>306</v>
      </c>
      <c r="D224" s="412" t="s">
        <v>311</v>
      </c>
      <c r="E224" s="293"/>
      <c r="F224" s="294"/>
      <c r="G224" s="293"/>
      <c r="H224" s="293"/>
      <c r="I224" s="293"/>
      <c r="J224" s="422" t="s">
        <v>312</v>
      </c>
      <c r="K224" s="270"/>
      <c r="Q224" s="271"/>
      <c r="R224" s="269"/>
      <c r="X224" s="288"/>
      <c r="Y224" s="333"/>
      <c r="AB224" s="288"/>
      <c r="AC224" s="288"/>
      <c r="AE224" s="65" t="s">
        <v>304</v>
      </c>
      <c r="AF224" s="334">
        <f>AF222</f>
        <v>0</v>
      </c>
      <c r="AG224" s="271"/>
    </row>
    <row r="225" spans="2:40" ht="14.1" customHeight="1">
      <c r="B225" s="269"/>
      <c r="Q225" s="271"/>
      <c r="R225" s="269"/>
      <c r="S225" s="548" t="str">
        <f>IF(AA183="NO","",IF(AA183="SI",AI219," "))</f>
        <v/>
      </c>
      <c r="T225" s="304"/>
      <c r="V225" s="288"/>
      <c r="W225" s="288"/>
      <c r="X225" s="288"/>
      <c r="Y225" s="321" t="s">
        <v>290</v>
      </c>
      <c r="Z225" s="301"/>
      <c r="AA225" s="273"/>
      <c r="AB225" s="274"/>
      <c r="AC225" s="274"/>
      <c r="AD225" s="274"/>
      <c r="AE225" s="274"/>
      <c r="AF225" s="660">
        <f>AF222/2</f>
        <v>0</v>
      </c>
      <c r="AG225" s="271"/>
      <c r="AI225" s="331"/>
    </row>
    <row r="226" spans="2:40" ht="12.75" customHeight="1">
      <c r="B226" s="269"/>
      <c r="C226" s="425" t="s">
        <v>306</v>
      </c>
      <c r="D226" s="412" t="s">
        <v>402</v>
      </c>
      <c r="E226" s="293"/>
      <c r="F226" s="294"/>
      <c r="G226" s="293"/>
      <c r="H226" s="293"/>
      <c r="I226" s="293"/>
      <c r="J226" s="422" t="s">
        <v>399</v>
      </c>
      <c r="Q226" s="271"/>
      <c r="R226" s="269"/>
      <c r="S226" s="419"/>
      <c r="W226" s="288"/>
      <c r="X226" s="288"/>
      <c r="Y226" s="322" t="s">
        <v>576</v>
      </c>
      <c r="Z226" s="293"/>
      <c r="AA226" s="293"/>
      <c r="AB226" s="323"/>
      <c r="AC226" s="323"/>
      <c r="AD226" s="323"/>
      <c r="AE226" s="323"/>
      <c r="AF226" s="661"/>
      <c r="AG226" s="271"/>
      <c r="AI226" s="331"/>
    </row>
    <row r="227" spans="2:40" ht="14.1" customHeight="1">
      <c r="B227" s="269"/>
      <c r="Q227" s="271"/>
      <c r="R227" s="269"/>
      <c r="T227" s="314" t="s">
        <v>294</v>
      </c>
      <c r="U227" s="241" t="s">
        <v>1</v>
      </c>
      <c r="V227" s="281">
        <f>AB200</f>
        <v>0</v>
      </c>
      <c r="W227" s="288"/>
      <c r="X227" s="288"/>
      <c r="Y227" s="321" t="s">
        <v>291</v>
      </c>
      <c r="Z227" s="301"/>
      <c r="AA227" s="273"/>
      <c r="AB227" s="274"/>
      <c r="AC227" s="274"/>
      <c r="AD227" s="274"/>
      <c r="AE227" s="274"/>
      <c r="AF227" s="660">
        <f>AF222/2</f>
        <v>0</v>
      </c>
      <c r="AG227" s="271"/>
      <c r="AI227" s="332"/>
    </row>
    <row r="228" spans="2:40" ht="12.75" customHeight="1">
      <c r="B228" s="269"/>
      <c r="C228" s="320"/>
      <c r="D228" s="477" t="s">
        <v>313</v>
      </c>
      <c r="J228" s="304"/>
      <c r="Q228" s="271"/>
      <c r="R228" s="269"/>
      <c r="W228" s="288"/>
      <c r="X228" s="288"/>
      <c r="Y228" s="322" t="s">
        <v>577</v>
      </c>
      <c r="Z228" s="323"/>
      <c r="AA228" s="323"/>
      <c r="AB228" s="323"/>
      <c r="AC228" s="323"/>
      <c r="AD228" s="323"/>
      <c r="AE228" s="323"/>
      <c r="AF228" s="661"/>
      <c r="AG228" s="271"/>
    </row>
    <row r="229" spans="2:40">
      <c r="B229" s="269"/>
      <c r="C229" s="425" t="s">
        <v>306</v>
      </c>
      <c r="D229" s="412" t="s">
        <v>314</v>
      </c>
      <c r="E229" s="293"/>
      <c r="F229" s="293"/>
      <c r="G229" s="293"/>
      <c r="H229" s="293"/>
      <c r="I229" s="293"/>
      <c r="J229" s="422" t="s">
        <v>398</v>
      </c>
      <c r="Q229" s="271"/>
      <c r="R229" s="269"/>
      <c r="T229" s="314" t="s">
        <v>398</v>
      </c>
      <c r="U229" s="241" t="s">
        <v>1</v>
      </c>
      <c r="V229" s="281">
        <f>AB205</f>
        <v>0</v>
      </c>
      <c r="W229" s="288"/>
      <c r="X229" s="288"/>
      <c r="AG229" s="271"/>
    </row>
    <row r="230" spans="2:40">
      <c r="B230" s="269"/>
      <c r="Q230" s="271"/>
      <c r="R230" s="269"/>
      <c r="W230" s="288"/>
      <c r="X230" s="288"/>
      <c r="AG230" s="271"/>
    </row>
    <row r="231" spans="2:40">
      <c r="B231" s="269"/>
      <c r="C231" s="320"/>
      <c r="D231" s="304" t="s">
        <v>315</v>
      </c>
      <c r="Q231" s="271"/>
      <c r="R231" s="269"/>
      <c r="T231" s="314" t="s">
        <v>21</v>
      </c>
      <c r="U231" s="241" t="s">
        <v>1</v>
      </c>
      <c r="V231" s="281">
        <f>V227+V229</f>
        <v>0</v>
      </c>
      <c r="W231" s="288"/>
      <c r="X231" s="288"/>
      <c r="AG231" s="271"/>
      <c r="AJ231" s="308"/>
      <c r="AM231" s="241"/>
      <c r="AN231" s="241"/>
    </row>
    <row r="232" spans="2:40">
      <c r="B232" s="269"/>
      <c r="Q232" s="271"/>
      <c r="R232" s="269"/>
      <c r="S232" s="419"/>
      <c r="T232" s="304"/>
      <c r="V232" s="424"/>
      <c r="X232" s="330"/>
      <c r="Y232" s="787"/>
      <c r="Z232" s="635"/>
      <c r="AA232" s="635"/>
      <c r="AB232" s="635"/>
      <c r="AC232" s="635"/>
      <c r="AD232" s="635"/>
      <c r="AE232" s="635"/>
      <c r="AG232" s="271"/>
      <c r="AM232" s="241"/>
      <c r="AN232" s="241"/>
    </row>
    <row r="233" spans="2:40">
      <c r="B233" s="269"/>
      <c r="C233" s="320"/>
      <c r="D233" s="303"/>
      <c r="Q233" s="271"/>
      <c r="R233" s="269"/>
      <c r="S233" s="461" t="s">
        <v>335</v>
      </c>
      <c r="Y233" s="787"/>
      <c r="Z233" s="635"/>
      <c r="AA233" s="635"/>
      <c r="AB233" s="635"/>
      <c r="AC233" s="635"/>
      <c r="AD233" s="635"/>
      <c r="AE233" s="635"/>
      <c r="AG233" s="271"/>
      <c r="AM233" s="241"/>
      <c r="AN233" s="241"/>
    </row>
    <row r="234" spans="2:40" ht="15" customHeight="1">
      <c r="B234" s="269"/>
      <c r="C234" s="320"/>
      <c r="D234" s="303"/>
      <c r="Q234" s="271"/>
      <c r="R234" s="269"/>
      <c r="S234" s="461" t="s">
        <v>553</v>
      </c>
      <c r="Y234" s="654"/>
      <c r="Z234" s="634"/>
      <c r="AA234" s="634"/>
      <c r="AB234" s="634"/>
      <c r="AC234" s="634"/>
      <c r="AD234" s="634"/>
      <c r="AE234" s="634"/>
      <c r="AF234" s="634"/>
      <c r="AG234" s="271"/>
      <c r="AM234" s="241"/>
      <c r="AN234" s="241"/>
    </row>
    <row r="235" spans="2:40">
      <c r="B235" s="269"/>
      <c r="C235" s="320"/>
      <c r="D235" s="303"/>
      <c r="Q235" s="271"/>
      <c r="R235" s="269"/>
      <c r="S235" s="461" t="s">
        <v>579</v>
      </c>
      <c r="Y235" s="330"/>
      <c r="AA235" s="265"/>
      <c r="AC235" s="288"/>
      <c r="AE235" s="288"/>
      <c r="AF235" s="653"/>
      <c r="AG235" s="271"/>
      <c r="AI235" s="331"/>
      <c r="AM235" s="241"/>
      <c r="AN235" s="241"/>
    </row>
    <row r="236" spans="2:40" ht="12.75" customHeight="1">
      <c r="B236" s="269"/>
      <c r="C236" s="320"/>
      <c r="D236" s="303"/>
      <c r="Q236" s="271"/>
      <c r="R236" s="269"/>
      <c r="S236" s="461"/>
      <c r="Y236" s="262"/>
      <c r="AB236" s="288"/>
      <c r="AC236" s="288"/>
      <c r="AE236" s="288"/>
      <c r="AF236" s="634"/>
      <c r="AG236" s="271"/>
      <c r="AM236" s="241"/>
      <c r="AN236" s="241"/>
    </row>
    <row r="237" spans="2:40" ht="12.75" customHeight="1">
      <c r="B237" s="269"/>
      <c r="C237" s="320"/>
      <c r="Q237" s="271"/>
      <c r="R237" s="269"/>
      <c r="Y237" s="262"/>
      <c r="AB237" s="288"/>
      <c r="AC237" s="288"/>
      <c r="AE237" s="2"/>
      <c r="AF237" s="549"/>
      <c r="AG237" s="271"/>
      <c r="AM237" s="241"/>
      <c r="AN237" s="241"/>
    </row>
    <row r="238" spans="2:40">
      <c r="B238" s="269"/>
      <c r="C238" s="320"/>
      <c r="D238" s="303"/>
      <c r="Q238" s="271"/>
      <c r="R238" s="269"/>
      <c r="Y238" s="330"/>
      <c r="AA238" s="265"/>
      <c r="AB238" s="288"/>
      <c r="AC238" s="288"/>
      <c r="AD238" s="288"/>
      <c r="AE238" s="288"/>
      <c r="AF238" s="653"/>
      <c r="AG238" s="271"/>
      <c r="AM238" s="241"/>
      <c r="AN238" s="241"/>
    </row>
    <row r="239" spans="2:40" ht="12.75" customHeight="1">
      <c r="B239" s="269"/>
      <c r="C239" s="324"/>
      <c r="D239" s="313"/>
      <c r="Q239" s="271"/>
      <c r="R239" s="269"/>
      <c r="S239" s="262"/>
      <c r="T239" s="314" t="s">
        <v>399</v>
      </c>
      <c r="U239" s="241" t="s">
        <v>1</v>
      </c>
      <c r="V239" s="281">
        <f>AB207</f>
        <v>0</v>
      </c>
      <c r="Y239" s="262"/>
      <c r="AB239" s="288"/>
      <c r="AC239" s="288"/>
      <c r="AD239" s="288"/>
      <c r="AE239" s="288"/>
      <c r="AF239" s="634"/>
      <c r="AG239" s="271"/>
      <c r="AM239" s="241"/>
      <c r="AN239" s="241"/>
    </row>
    <row r="240" spans="2:40" ht="12.75" customHeight="1">
      <c r="B240" s="269"/>
      <c r="C240" s="324"/>
      <c r="D240" s="313"/>
      <c r="L240" s="501"/>
      <c r="Q240" s="271"/>
      <c r="R240" s="269"/>
      <c r="Y240" s="330"/>
      <c r="AA240" s="265"/>
      <c r="AB240" s="288"/>
      <c r="AC240" s="288"/>
      <c r="AD240" s="288"/>
      <c r="AE240" s="288"/>
      <c r="AF240" s="653"/>
      <c r="AG240" s="271"/>
      <c r="AM240" s="241"/>
      <c r="AN240" s="241"/>
    </row>
    <row r="241" spans="2:40" ht="12.75" customHeight="1">
      <c r="B241" s="269"/>
      <c r="C241" s="320"/>
      <c r="D241" s="303"/>
      <c r="Q241" s="271"/>
      <c r="R241" s="269"/>
      <c r="S241" s="461" t="s">
        <v>335</v>
      </c>
      <c r="X241" s="1"/>
      <c r="Y241" s="262"/>
      <c r="Z241" s="288"/>
      <c r="AA241" s="288"/>
      <c r="AB241" s="288"/>
      <c r="AC241" s="288"/>
      <c r="AD241" s="288"/>
      <c r="AE241" s="288"/>
      <c r="AF241" s="634"/>
      <c r="AG241" s="271"/>
      <c r="AM241" s="241"/>
      <c r="AN241" s="241"/>
    </row>
    <row r="242" spans="2:40" ht="14.1" customHeight="1">
      <c r="B242" s="269"/>
      <c r="Q242" s="271"/>
      <c r="R242" s="269"/>
      <c r="S242" s="461" t="s">
        <v>553</v>
      </c>
      <c r="X242" s="1"/>
      <c r="Y242" s="344"/>
      <c r="Z242" s="355"/>
      <c r="AA242" s="355"/>
      <c r="AB242" s="355"/>
      <c r="AC242" s="355"/>
      <c r="AD242" s="355"/>
      <c r="AE242" s="355"/>
      <c r="AF242" s="355"/>
      <c r="AG242" s="271"/>
      <c r="AM242" s="241"/>
      <c r="AN242" s="241"/>
    </row>
    <row r="243" spans="2:40" ht="15">
      <c r="B243" s="269"/>
      <c r="Q243" s="271"/>
      <c r="R243" s="269"/>
      <c r="S243" s="461" t="s">
        <v>554</v>
      </c>
      <c r="Y243" s="355"/>
      <c r="Z243" s="355"/>
      <c r="AA243" s="355"/>
      <c r="AB243" s="355"/>
      <c r="AC243" s="355"/>
      <c r="AD243" s="355"/>
      <c r="AE243" s="355"/>
      <c r="AF243" s="355"/>
      <c r="AG243" s="271"/>
      <c r="AM243" s="241"/>
      <c r="AN243" s="241"/>
    </row>
    <row r="244" spans="2:40" ht="14.1" customHeight="1">
      <c r="B244" s="269"/>
      <c r="Q244" s="271"/>
      <c r="R244" s="269"/>
      <c r="X244" s="1"/>
      <c r="Y244" s="355"/>
      <c r="Z244" s="355"/>
      <c r="AA244" s="355"/>
      <c r="AB244" s="355"/>
      <c r="AC244" s="355"/>
      <c r="AD244" s="355"/>
      <c r="AE244" s="355"/>
      <c r="AF244" s="355"/>
      <c r="AG244" s="271"/>
      <c r="AM244" s="241"/>
      <c r="AN244" s="241"/>
    </row>
    <row r="245" spans="2:40" ht="12.75" customHeight="1">
      <c r="B245" s="269"/>
      <c r="Q245" s="271"/>
      <c r="R245" s="269"/>
      <c r="W245" s="1"/>
      <c r="X245" s="1"/>
      <c r="Y245" s="355"/>
      <c r="Z245" s="355"/>
      <c r="AA245" s="355"/>
      <c r="AB245" s="355"/>
      <c r="AC245" s="355"/>
      <c r="AD245" s="355"/>
      <c r="AE245" s="355"/>
      <c r="AF245" s="355"/>
      <c r="AG245" s="271"/>
      <c r="AM245" s="241"/>
      <c r="AN245" s="241"/>
    </row>
    <row r="246" spans="2:40" ht="14.1" customHeight="1">
      <c r="B246" s="269"/>
      <c r="Q246" s="271"/>
      <c r="R246" s="269"/>
      <c r="X246" s="1"/>
      <c r="Y246" s="355"/>
      <c r="Z246" s="355"/>
      <c r="AA246" s="355"/>
      <c r="AB246" s="355"/>
      <c r="AC246" s="355"/>
      <c r="AD246" s="355"/>
      <c r="AE246" s="355"/>
      <c r="AF246" s="355"/>
      <c r="AG246" s="271"/>
    </row>
    <row r="247" spans="2:40" ht="15">
      <c r="B247" s="269"/>
      <c r="Q247" s="271"/>
      <c r="R247" s="269"/>
      <c r="S247" s="262"/>
      <c r="T247" s="314" t="s">
        <v>21</v>
      </c>
      <c r="U247" s="241" t="s">
        <v>1</v>
      </c>
      <c r="V247" s="281">
        <f>V231+V239</f>
        <v>0</v>
      </c>
      <c r="W247" s="1"/>
      <c r="X247" s="304" t="s">
        <v>582</v>
      </c>
      <c r="Y247" s="355"/>
      <c r="Z247" s="355"/>
      <c r="AA247" s="355"/>
      <c r="AB247" s="355"/>
      <c r="AC247" s="355"/>
      <c r="AD247" s="355"/>
      <c r="AE247" s="355"/>
      <c r="AF247" s="355"/>
      <c r="AG247" s="271"/>
    </row>
    <row r="248" spans="2:40" ht="12.75" customHeight="1">
      <c r="B248" s="269"/>
      <c r="Q248" s="271"/>
      <c r="R248" s="269"/>
      <c r="V248" s="1"/>
      <c r="Y248" s="262"/>
      <c r="Z248" s="288"/>
      <c r="AA248" s="288"/>
      <c r="AB248" s="288"/>
      <c r="AC248" s="288"/>
      <c r="AD248" s="288"/>
      <c r="AE248" s="288"/>
      <c r="AF248" s="345"/>
      <c r="AG248" s="271"/>
      <c r="AI248" s="325"/>
    </row>
    <row r="249" spans="2:40" ht="13.5" thickBot="1">
      <c r="B249" s="297"/>
      <c r="C249" s="298"/>
      <c r="D249" s="298"/>
      <c r="E249" s="298"/>
      <c r="F249" s="298"/>
      <c r="G249" s="298"/>
      <c r="H249" s="298"/>
      <c r="I249" s="298"/>
      <c r="J249" s="298"/>
      <c r="K249" s="298"/>
      <c r="L249" s="298"/>
      <c r="M249" s="298"/>
      <c r="N249" s="298"/>
      <c r="O249" s="298"/>
      <c r="P249" s="298"/>
      <c r="Q249" s="299"/>
      <c r="R249" s="297"/>
      <c r="S249" s="298"/>
      <c r="T249" s="298"/>
      <c r="U249" s="298"/>
      <c r="V249" s="298"/>
      <c r="W249" s="298"/>
      <c r="X249" s="298"/>
      <c r="Y249" s="298"/>
      <c r="Z249" s="298"/>
      <c r="AA249" s="298"/>
      <c r="AB249" s="298"/>
      <c r="AC249" s="298"/>
      <c r="AD249" s="298"/>
      <c r="AE249" s="298"/>
      <c r="AF249" s="298"/>
      <c r="AG249" s="299"/>
    </row>
  </sheetData>
  <sheetProtection algorithmName="SHA-512" hashValue="RZTGQl/+uNUOC7hU7bQiD8/e6pEHHpgzmaPH8YRuE8I7tGC1AnH+YUhwbVx+59oeH7r9dgSOyfDh6+/AwOkxUg==" saltValue="wvYqoAs58DcSIi0Sgkwpkg==" spinCount="100000" sheet="1" objects="1" scenarios="1" selectLockedCells="1"/>
  <dataConsolidate/>
  <mergeCells count="67">
    <mergeCell ref="AF240:AF241"/>
    <mergeCell ref="AA183:AB183"/>
    <mergeCell ref="AA180:AB180"/>
    <mergeCell ref="Y232:Y233"/>
    <mergeCell ref="Z232:AE233"/>
    <mergeCell ref="B78:Q79"/>
    <mergeCell ref="Y221:AF221"/>
    <mergeCell ref="AF225:AF226"/>
    <mergeCell ref="B212:Q213"/>
    <mergeCell ref="B151:Q152"/>
    <mergeCell ref="R175:AF176"/>
    <mergeCell ref="B175:Q176"/>
    <mergeCell ref="S220:X220"/>
    <mergeCell ref="S221:X221"/>
    <mergeCell ref="Y219:AE220"/>
    <mergeCell ref="B214:Q215"/>
    <mergeCell ref="R214:AF215"/>
    <mergeCell ref="X100:Z100"/>
    <mergeCell ref="AA182:AB182"/>
    <mergeCell ref="AA181:AB181"/>
    <mergeCell ref="B177:Q178"/>
    <mergeCell ref="R177:AF178"/>
    <mergeCell ref="B115:Q116"/>
    <mergeCell ref="R113:AF114"/>
    <mergeCell ref="AG113:AG116"/>
    <mergeCell ref="B153:Q154"/>
    <mergeCell ref="AG151:AG154"/>
    <mergeCell ref="R135:AC135"/>
    <mergeCell ref="R151:AF152"/>
    <mergeCell ref="B113:Q114"/>
    <mergeCell ref="B2:Q3"/>
    <mergeCell ref="B4:Q5"/>
    <mergeCell ref="R76:AF77"/>
    <mergeCell ref="R78:AF79"/>
    <mergeCell ref="X103:Z103"/>
    <mergeCell ref="X85:Z85"/>
    <mergeCell ref="X88:Z88"/>
    <mergeCell ref="X91:Z91"/>
    <mergeCell ref="X94:Z94"/>
    <mergeCell ref="X97:Z97"/>
    <mergeCell ref="B39:Q40"/>
    <mergeCell ref="B41:Q42"/>
    <mergeCell ref="X86:Z86"/>
    <mergeCell ref="R4:AE5"/>
    <mergeCell ref="AF4:AF5"/>
    <mergeCell ref="B76:Q77"/>
    <mergeCell ref="AG2:AG5"/>
    <mergeCell ref="R2:AF3"/>
    <mergeCell ref="R39:AF40"/>
    <mergeCell ref="AG39:AG42"/>
    <mergeCell ref="R41:AF42"/>
    <mergeCell ref="AG76:AG79"/>
    <mergeCell ref="R115:AF116"/>
    <mergeCell ref="X107:Z107"/>
    <mergeCell ref="R153:AF154"/>
    <mergeCell ref="AF238:AF239"/>
    <mergeCell ref="Y234:AF234"/>
    <mergeCell ref="AF235:AF236"/>
    <mergeCell ref="AD118:AG118"/>
    <mergeCell ref="AD119:AG119"/>
    <mergeCell ref="AF227:AF228"/>
    <mergeCell ref="R134:AC134"/>
    <mergeCell ref="R212:AF213"/>
    <mergeCell ref="AF222:AF223"/>
    <mergeCell ref="AF219:AF220"/>
    <mergeCell ref="AG212:AG215"/>
    <mergeCell ref="AG175:AG178"/>
  </mergeCells>
  <conditionalFormatting sqref="AD195">
    <cfRule type="expression" dxfId="39" priority="12">
      <formula>$AA$181&lt;&gt;"Lettera a)"</formula>
    </cfRule>
  </conditionalFormatting>
  <conditionalFormatting sqref="AD197">
    <cfRule type="expression" dxfId="38" priority="11">
      <formula>$AA$181&lt;&gt;"Lettera b)"</formula>
    </cfRule>
  </conditionalFormatting>
  <dataValidations count="9">
    <dataValidation type="list" allowBlank="1" showInputMessage="1" showErrorMessage="1" sqref="X131 X148 X173">
      <formula1>$AI$119:$AI$121</formula1>
    </dataValidation>
    <dataValidation type="list" allowBlank="1" showInputMessage="1" showErrorMessage="1" sqref="V121 V123 V141 V139 V165 V161 V163 V159">
      <formula1>$AI$123:$AI$128</formula1>
    </dataValidation>
    <dataValidation type="list" allowBlank="1" showInputMessage="1" showErrorMessage="1" sqref="AF219">
      <formula1>$AI$130:$AI$131</formula1>
    </dataValidation>
    <dataValidation type="list" allowBlank="1" showInputMessage="1" showErrorMessage="1" sqref="Z46 Z66 Z56">
      <formula1>$AL$46:$AL$47</formula1>
    </dataValidation>
    <dataValidation type="list" allowBlank="1" showInputMessage="1" showErrorMessage="1" sqref="Z50 Z70 Z60">
      <formula1>$AM$45:$AM$47</formula1>
    </dataValidation>
    <dataValidation type="list" allowBlank="1" showInputMessage="1" showErrorMessage="1" sqref="AD121 AD126">
      <formula1>$AI$122:$AI$127</formula1>
    </dataValidation>
    <dataValidation type="list" allowBlank="1" showInputMessage="1" showErrorMessage="1" sqref="AB169">
      <formula1>$S$125:$S$126</formula1>
    </dataValidation>
    <dataValidation type="list" allowBlank="1" showInputMessage="1" showErrorMessage="1" sqref="AA181:AB181">
      <formula1>$AI$175:$AI$176</formula1>
    </dataValidation>
    <dataValidation type="list" allowBlank="1" showInputMessage="1" showErrorMessage="1" sqref="AA183:AB183">
      <formula1>$AI$177:$AI$178</formula1>
    </dataValidation>
  </dataValidations>
  <printOptions horizontalCentered="1" verticalCentered="1"/>
  <pageMargins left="0.25" right="0.25" top="0.75" bottom="0.75" header="0.3" footer="0.3"/>
  <pageSetup paperSize="9" scale="94" fitToWidth="0" fitToHeight="0" pageOrder="overThenDown" orientation="landscape" horizontalDpi="1200" verticalDpi="1200" r:id="rId1"/>
  <rowBreaks count="6" manualBreakCount="6">
    <brk id="38" max="16383" man="1"/>
    <brk id="75" max="16383" man="1"/>
    <brk id="112" max="16383" man="1"/>
    <brk id="150" max="16383" man="1"/>
    <brk id="174" max="16383" man="1"/>
    <brk id="21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'Tabella Parametrica U1-U2'!$U$48:$U$52</xm:f>
          </x14:formula1>
          <xm:sqref>X46 X56 X66</xm:sqref>
        </x14:dataValidation>
        <x14:dataValidation type="list" allowBlank="1" showInputMessage="1" showErrorMessage="1">
          <x14:formula1>
            <xm:f>'Tabella Parametrica U1-U2'!$V$48:$V$52</xm:f>
          </x14:formula1>
          <xm:sqref>X50 X60 X70</xm:sqref>
        </x14:dataValidation>
        <x14:dataValidation type="list" allowBlank="1" showInputMessage="1" showErrorMessage="1">
          <x14:formula1>
            <xm:f>'Tabella Parametrica U1-U2'!$U$4:$U$47</xm:f>
          </x14:formula1>
          <xm:sqref>X9 X19 X29</xm:sqref>
        </x14:dataValidation>
        <x14:dataValidation type="list" allowBlank="1" showInputMessage="1" showErrorMessage="1">
          <x14:formula1>
            <xm:f>'Tabella Parametrica U1-U2'!$V$4:$V$47</xm:f>
          </x14:formula1>
          <xm:sqref>X13 X23 X33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B1:L102"/>
  <sheetViews>
    <sheetView showGridLines="0" zoomScaleNormal="100" workbookViewId="0">
      <selection activeCell="C45" sqref="C45"/>
    </sheetView>
  </sheetViews>
  <sheetFormatPr defaultColWidth="9.140625" defaultRowHeight="12.75"/>
  <cols>
    <col min="1" max="1" width="5.5703125" style="4" customWidth="1"/>
    <col min="2" max="2" width="24.5703125" style="4" customWidth="1"/>
    <col min="3" max="3" width="16.42578125" style="4" customWidth="1"/>
    <col min="4" max="4" width="21.5703125" style="4" customWidth="1"/>
    <col min="5" max="5" width="25.5703125" style="4" customWidth="1"/>
    <col min="6" max="6" width="15.5703125" style="4" customWidth="1"/>
    <col min="7" max="7" width="18.140625" style="4" customWidth="1"/>
    <col min="8" max="12" width="12.5703125" style="4" customWidth="1"/>
    <col min="13" max="16384" width="9.140625" style="4"/>
  </cols>
  <sheetData>
    <row r="1" spans="2:10" ht="13.5" thickBot="1"/>
    <row r="2" spans="2:10" ht="35.1" customHeight="1">
      <c r="B2" s="337" t="s">
        <v>318</v>
      </c>
      <c r="C2" s="809" t="s">
        <v>357</v>
      </c>
      <c r="D2" s="810"/>
      <c r="E2" s="810"/>
      <c r="F2" s="810"/>
      <c r="G2" s="810"/>
      <c r="H2" s="811"/>
      <c r="I2" s="5"/>
    </row>
    <row r="3" spans="2:10" ht="35.1" customHeight="1" thickBot="1">
      <c r="B3" s="338" t="s">
        <v>319</v>
      </c>
      <c r="C3" s="812" t="s">
        <v>498</v>
      </c>
      <c r="D3" s="813"/>
      <c r="E3" s="813"/>
      <c r="F3" s="813"/>
      <c r="G3" s="813"/>
      <c r="H3" s="814"/>
      <c r="I3" s="5"/>
    </row>
    <row r="4" spans="2:10" ht="9.9499999999999993" customHeight="1">
      <c r="B4" s="339"/>
      <c r="C4" s="340"/>
      <c r="D4" s="340"/>
      <c r="E4" s="340"/>
      <c r="F4" s="340"/>
      <c r="G4" s="340"/>
      <c r="H4" s="340"/>
      <c r="I4" s="5"/>
    </row>
    <row r="5" spans="2:10" ht="24.95" customHeight="1">
      <c r="B5" s="815" t="s">
        <v>24</v>
      </c>
      <c r="C5" s="816"/>
      <c r="D5" s="816"/>
      <c r="E5" s="816"/>
      <c r="F5" s="816"/>
      <c r="G5" s="816"/>
      <c r="H5" s="817"/>
      <c r="I5" s="5"/>
    </row>
    <row r="6" spans="2:10" ht="24.95" customHeight="1">
      <c r="B6" s="6" t="s">
        <v>25</v>
      </c>
    </row>
    <row r="7" spans="2:10" ht="24.95" customHeight="1">
      <c r="B7" s="7" t="s">
        <v>26</v>
      </c>
    </row>
    <row r="8" spans="2:10" s="9" customFormat="1" ht="15" customHeight="1">
      <c r="B8" s="8" t="s">
        <v>27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4"/>
    </row>
    <row r="9" spans="2:10" s="9" customFormat="1" ht="15" customHeight="1">
      <c r="B9" s="10" t="s">
        <v>3</v>
      </c>
      <c r="C9" s="10" t="s">
        <v>33</v>
      </c>
      <c r="D9" s="10" t="s">
        <v>3</v>
      </c>
      <c r="E9" s="10" t="s">
        <v>34</v>
      </c>
      <c r="F9" s="10"/>
      <c r="G9" s="10" t="s">
        <v>35</v>
      </c>
      <c r="H9" s="4"/>
    </row>
    <row r="10" spans="2:10" s="12" customFormat="1" ht="15" customHeight="1">
      <c r="B10" s="11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1" t="s">
        <v>41</v>
      </c>
      <c r="H10" s="4"/>
    </row>
    <row r="11" spans="2:10" s="9" customFormat="1" ht="15" customHeight="1">
      <c r="B11" s="462" t="s">
        <v>42</v>
      </c>
      <c r="C11" s="13">
        <v>0</v>
      </c>
      <c r="D11" s="14">
        <v>0</v>
      </c>
      <c r="E11" s="15" t="e">
        <f>D11/D16</f>
        <v>#DIV/0!</v>
      </c>
      <c r="F11" s="16">
        <v>0</v>
      </c>
      <c r="G11" s="17" t="e">
        <f>E11*F11</f>
        <v>#DIV/0!</v>
      </c>
      <c r="H11" s="4"/>
      <c r="J11" s="4"/>
    </row>
    <row r="12" spans="2:10" s="9" customFormat="1" ht="15" customHeight="1">
      <c r="B12" s="462" t="s">
        <v>43</v>
      </c>
      <c r="C12" s="13">
        <v>0</v>
      </c>
      <c r="D12" s="14">
        <v>0</v>
      </c>
      <c r="E12" s="15" t="e">
        <f>D12/D16</f>
        <v>#DIV/0!</v>
      </c>
      <c r="F12" s="16">
        <v>5</v>
      </c>
      <c r="G12" s="17" t="e">
        <f>E12*F12</f>
        <v>#DIV/0!</v>
      </c>
      <c r="H12" s="4"/>
      <c r="J12" s="4"/>
    </row>
    <row r="13" spans="2:10" s="9" customFormat="1" ht="15" customHeight="1">
      <c r="B13" s="462" t="s">
        <v>44</v>
      </c>
      <c r="C13" s="13">
        <v>0</v>
      </c>
      <c r="D13" s="14">
        <v>0</v>
      </c>
      <c r="E13" s="15" t="e">
        <f>D13/D16</f>
        <v>#DIV/0!</v>
      </c>
      <c r="F13" s="16">
        <v>15</v>
      </c>
      <c r="G13" s="17" t="e">
        <f>E13*F13</f>
        <v>#DIV/0!</v>
      </c>
      <c r="H13" s="4"/>
      <c r="J13" s="4"/>
    </row>
    <row r="14" spans="2:10" s="9" customFormat="1" ht="15" customHeight="1">
      <c r="B14" s="462" t="s">
        <v>45</v>
      </c>
      <c r="C14" s="13">
        <v>0</v>
      </c>
      <c r="D14" s="14">
        <v>0</v>
      </c>
      <c r="E14" s="15" t="e">
        <f>D14/D16</f>
        <v>#DIV/0!</v>
      </c>
      <c r="F14" s="16">
        <v>30</v>
      </c>
      <c r="G14" s="17" t="e">
        <f>E14*F14</f>
        <v>#DIV/0!</v>
      </c>
      <c r="H14" s="4"/>
      <c r="J14" s="4"/>
    </row>
    <row r="15" spans="2:10" s="9" customFormat="1" ht="15" customHeight="1" thickBot="1">
      <c r="B15" s="462" t="s">
        <v>46</v>
      </c>
      <c r="C15" s="13">
        <v>0</v>
      </c>
      <c r="D15" s="14">
        <v>0</v>
      </c>
      <c r="E15" s="15" t="e">
        <f>D15/D16</f>
        <v>#DIV/0!</v>
      </c>
      <c r="F15" s="16">
        <v>50</v>
      </c>
      <c r="G15" s="18" t="e">
        <f>E15*F15</f>
        <v>#DIV/0!</v>
      </c>
      <c r="H15" s="4"/>
      <c r="J15" s="4"/>
    </row>
    <row r="16" spans="2:10" s="9" customFormat="1" ht="15" customHeight="1" thickBot="1">
      <c r="B16" s="4"/>
      <c r="C16" s="19" t="s">
        <v>47</v>
      </c>
      <c r="D16" s="20">
        <f>SUM(D11:D15)</f>
        <v>0</v>
      </c>
      <c r="E16" s="4"/>
      <c r="F16" s="4"/>
      <c r="G16" s="21" t="s">
        <v>48</v>
      </c>
      <c r="H16" s="22">
        <f>IFERROR(SUM(G11:G15),0)</f>
        <v>0</v>
      </c>
      <c r="J16" s="4"/>
    </row>
    <row r="17" spans="2:11" ht="24.95" customHeight="1">
      <c r="B17" s="7" t="s">
        <v>49</v>
      </c>
    </row>
    <row r="18" spans="2:11" s="9" customFormat="1" ht="15" customHeight="1">
      <c r="B18" s="23" t="s">
        <v>50</v>
      </c>
      <c r="C18" s="24">
        <f>D16</f>
        <v>0</v>
      </c>
      <c r="D18" s="818" t="s">
        <v>51</v>
      </c>
      <c r="E18" s="819"/>
      <c r="F18" s="820" t="s">
        <v>52</v>
      </c>
      <c r="G18" s="823" t="s">
        <v>53</v>
      </c>
      <c r="H18" s="4"/>
      <c r="J18" s="4"/>
    </row>
    <row r="19" spans="2:11" s="9" customFormat="1" ht="15" customHeight="1">
      <c r="B19" s="23" t="s">
        <v>54</v>
      </c>
      <c r="C19" s="14">
        <v>0</v>
      </c>
      <c r="D19" s="818"/>
      <c r="E19" s="819"/>
      <c r="F19" s="821"/>
      <c r="G19" s="824" t="s">
        <v>53</v>
      </c>
      <c r="H19" s="4"/>
      <c r="J19" s="4"/>
      <c r="K19" s="25"/>
    </row>
    <row r="20" spans="2:11" s="9" customFormat="1" ht="15" customHeight="1">
      <c r="B20" s="26" t="s">
        <v>55</v>
      </c>
      <c r="C20" s="27">
        <f>C18+C19*0.6</f>
        <v>0</v>
      </c>
      <c r="D20" s="818"/>
      <c r="E20" s="819"/>
      <c r="F20" s="822"/>
      <c r="G20" s="825"/>
      <c r="H20" s="4"/>
      <c r="J20" s="4"/>
      <c r="K20" s="25"/>
    </row>
    <row r="21" spans="2:11" ht="15" customHeight="1">
      <c r="B21" s="23" t="s">
        <v>56</v>
      </c>
      <c r="C21" s="16">
        <f>IFERROR(C19/C18*100,0)</f>
        <v>0</v>
      </c>
      <c r="D21" s="805" t="s">
        <v>57</v>
      </c>
      <c r="E21" s="806"/>
      <c r="F21" s="16" t="str">
        <f>IF(C21&lt;=50,"1","0")</f>
        <v>1</v>
      </c>
      <c r="G21" s="16">
        <v>0</v>
      </c>
      <c r="I21" s="9"/>
      <c r="K21" s="25"/>
    </row>
    <row r="22" spans="2:11" ht="15" customHeight="1">
      <c r="B22" s="28"/>
      <c r="C22" s="29"/>
      <c r="D22" s="805" t="s">
        <v>58</v>
      </c>
      <c r="E22" s="806"/>
      <c r="F22" s="16" t="str">
        <f>IF(AND(C21&gt;50,C21&lt;=75),"1","0")</f>
        <v>0</v>
      </c>
      <c r="G22" s="16">
        <v>10</v>
      </c>
      <c r="I22" s="9"/>
      <c r="K22" s="25"/>
    </row>
    <row r="23" spans="2:11" ht="15" customHeight="1" thickBot="1">
      <c r="B23" s="480" t="s">
        <v>469</v>
      </c>
      <c r="C23" s="30"/>
      <c r="D23" s="805" t="s">
        <v>59</v>
      </c>
      <c r="E23" s="806"/>
      <c r="F23" s="16" t="str">
        <f>IF(AND(C21&gt;75,C21&lt;=100),"1","0")</f>
        <v>0</v>
      </c>
      <c r="G23" s="16">
        <v>20</v>
      </c>
      <c r="I23" s="9"/>
      <c r="K23" s="25"/>
    </row>
    <row r="24" spans="2:11" ht="15" customHeight="1" thickBot="1">
      <c r="B24" s="480" t="s">
        <v>471</v>
      </c>
      <c r="C24" s="30"/>
      <c r="D24" s="805" t="s">
        <v>60</v>
      </c>
      <c r="E24" s="806"/>
      <c r="F24" s="16" t="str">
        <f>IF(C21&gt;100,"1","0")</f>
        <v>0</v>
      </c>
      <c r="G24" s="31">
        <v>30</v>
      </c>
      <c r="H24" s="22">
        <f>IFERROR(F21*G21+F22*G22+F23*G23+F24*G24,0)</f>
        <v>0</v>
      </c>
      <c r="I24" s="9"/>
      <c r="K24" s="25"/>
    </row>
    <row r="25" spans="2:11" ht="24.95" customHeight="1">
      <c r="B25" s="480" t="s">
        <v>482</v>
      </c>
      <c r="I25" s="9"/>
      <c r="K25" s="25"/>
    </row>
    <row r="26" spans="2:11" ht="24.95" customHeight="1">
      <c r="B26" s="6" t="s">
        <v>61</v>
      </c>
      <c r="K26" s="32"/>
    </row>
    <row r="27" spans="2:11" ht="24.95" customHeight="1" thickBot="1">
      <c r="B27" s="7" t="s">
        <v>62</v>
      </c>
    </row>
    <row r="28" spans="2:11" s="12" customFormat="1" ht="15" customHeight="1" thickBot="1">
      <c r="B28" s="33" t="s">
        <v>63</v>
      </c>
      <c r="C28" s="34">
        <f>H24+H16</f>
        <v>0</v>
      </c>
      <c r="D28" s="35" t="s">
        <v>64</v>
      </c>
      <c r="E28" s="36" t="str">
        <f>ROMAN(H90)</f>
        <v>I</v>
      </c>
      <c r="F28" s="35" t="s">
        <v>65</v>
      </c>
      <c r="G28" s="37">
        <f>E91*D91+E92*D92+E93*D93+E94*D94+E95*D95+E96*D96+E97*D97+E98*D98+E99*D99+E100*D100+E101*D101</f>
        <v>0</v>
      </c>
      <c r="H28" s="4"/>
      <c r="K28" s="38"/>
    </row>
    <row r="29" spans="2:11" ht="15" customHeight="1">
      <c r="B29" s="39"/>
      <c r="K29" s="32"/>
    </row>
    <row r="30" spans="2:11" ht="15" customHeight="1">
      <c r="B30" s="40" t="s">
        <v>66</v>
      </c>
      <c r="C30" s="40" t="s">
        <v>67</v>
      </c>
      <c r="D30" s="40" t="s">
        <v>66</v>
      </c>
      <c r="E30" s="40" t="s">
        <v>67</v>
      </c>
    </row>
    <row r="31" spans="2:11" ht="15" customHeight="1">
      <c r="B31" s="41" t="s">
        <v>68</v>
      </c>
      <c r="C31" s="42" t="s">
        <v>69</v>
      </c>
      <c r="D31" s="41" t="s">
        <v>70</v>
      </c>
      <c r="E31" s="42" t="s">
        <v>71</v>
      </c>
    </row>
    <row r="32" spans="2:11" ht="15" customHeight="1">
      <c r="B32" s="41" t="s">
        <v>72</v>
      </c>
      <c r="C32" s="42" t="s">
        <v>73</v>
      </c>
      <c r="D32" s="41" t="s">
        <v>74</v>
      </c>
      <c r="E32" s="42" t="s">
        <v>75</v>
      </c>
    </row>
    <row r="33" spans="2:12" ht="15" customHeight="1">
      <c r="B33" s="41" t="s">
        <v>76</v>
      </c>
      <c r="C33" s="42" t="s">
        <v>77</v>
      </c>
      <c r="D33" s="41" t="s">
        <v>78</v>
      </c>
      <c r="E33" s="42" t="s">
        <v>79</v>
      </c>
    </row>
    <row r="34" spans="2:12" ht="15" customHeight="1">
      <c r="B34" s="41" t="s">
        <v>80</v>
      </c>
      <c r="C34" s="42" t="s">
        <v>81</v>
      </c>
      <c r="D34" s="41" t="s">
        <v>82</v>
      </c>
      <c r="E34" s="42" t="s">
        <v>83</v>
      </c>
    </row>
    <row r="35" spans="2:12" ht="15" customHeight="1">
      <c r="B35" s="41" t="s">
        <v>84</v>
      </c>
      <c r="C35" s="42" t="s">
        <v>85</v>
      </c>
      <c r="D35" s="41" t="s">
        <v>86</v>
      </c>
      <c r="E35" s="42" t="s">
        <v>87</v>
      </c>
    </row>
    <row r="36" spans="2:12" ht="15" customHeight="1">
      <c r="B36" s="41" t="s">
        <v>88</v>
      </c>
      <c r="C36" s="42" t="s">
        <v>89</v>
      </c>
      <c r="D36" s="28"/>
      <c r="E36" s="28"/>
      <c r="F36" s="43"/>
    </row>
    <row r="37" spans="2:12" ht="24.95" customHeight="1">
      <c r="B37" s="44"/>
      <c r="K37" s="32"/>
    </row>
    <row r="38" spans="2:12" ht="24.75" customHeight="1">
      <c r="B38" s="6" t="s">
        <v>90</v>
      </c>
      <c r="K38" s="32"/>
    </row>
    <row r="39" spans="2:12" ht="24.75" customHeight="1">
      <c r="B39" s="45" t="s">
        <v>428</v>
      </c>
      <c r="C39" s="807" t="s">
        <v>92</v>
      </c>
      <c r="D39" s="808"/>
      <c r="E39" s="808"/>
      <c r="K39" s="32"/>
    </row>
    <row r="40" spans="2:12" ht="24.75" customHeight="1">
      <c r="B40" s="45"/>
      <c r="C40" s="369" t="s">
        <v>336</v>
      </c>
      <c r="D40"/>
      <c r="E40"/>
      <c r="K40" s="32"/>
    </row>
    <row r="41" spans="2:12" ht="24.75" customHeight="1">
      <c r="D41" s="44"/>
      <c r="E41" s="44"/>
      <c r="F41" s="46"/>
      <c r="G41" s="44"/>
      <c r="H41" s="44"/>
      <c r="I41" s="44"/>
      <c r="J41" s="44"/>
      <c r="K41" s="44"/>
      <c r="L41" s="44"/>
    </row>
    <row r="42" spans="2:12" ht="24.75" customHeight="1">
      <c r="B42" s="632" t="s">
        <v>429</v>
      </c>
      <c r="C42" s="803"/>
      <c r="D42" s="47"/>
      <c r="E42" s="632" t="s">
        <v>430</v>
      </c>
      <c r="F42" s="804"/>
      <c r="G42" s="791" t="s">
        <v>94</v>
      </c>
      <c r="H42" s="792"/>
      <c r="I42" s="793"/>
      <c r="J42" s="48"/>
      <c r="K42" s="48"/>
      <c r="L42" s="48"/>
    </row>
    <row r="43" spans="2:12" ht="24.75" customHeight="1">
      <c r="B43" s="49"/>
      <c r="C43" s="50"/>
      <c r="D43" s="47"/>
      <c r="E43" s="51" t="s">
        <v>95</v>
      </c>
      <c r="F43" s="52" t="s">
        <v>96</v>
      </c>
      <c r="G43" s="794" t="s">
        <v>97</v>
      </c>
      <c r="H43" s="53" t="s">
        <v>98</v>
      </c>
      <c r="I43" s="54">
        <v>1</v>
      </c>
      <c r="J43" s="48"/>
      <c r="K43" s="48"/>
      <c r="L43" s="48"/>
    </row>
    <row r="44" spans="2:12" ht="24.75" customHeight="1">
      <c r="B44" s="55" t="s">
        <v>99</v>
      </c>
      <c r="C44" s="56">
        <v>0</v>
      </c>
      <c r="D44" s="47"/>
      <c r="E44" s="394" t="s">
        <v>474</v>
      </c>
      <c r="F44" s="256">
        <f>IF(F43=H43,AVERAGE(C44:C45)*I43,IF(F43=H44,AVERAGE(C44:C45)*I44,IF(F43=H45,AVERAGE(C44:C45)*I45,"errore o dati mancanti")))</f>
        <v>0</v>
      </c>
      <c r="G44" s="795"/>
      <c r="H44" s="53" t="s">
        <v>96</v>
      </c>
      <c r="I44" s="54">
        <v>1.3</v>
      </c>
      <c r="J44" s="48"/>
      <c r="K44" s="48"/>
      <c r="L44" s="48"/>
    </row>
    <row r="45" spans="2:12" ht="24.75" customHeight="1">
      <c r="B45" s="55" t="s">
        <v>100</v>
      </c>
      <c r="C45" s="56">
        <v>0</v>
      </c>
      <c r="D45" s="57"/>
      <c r="E45" s="395" t="s">
        <v>475</v>
      </c>
      <c r="F45" s="58"/>
      <c r="G45" s="796"/>
      <c r="H45" s="59" t="s">
        <v>101</v>
      </c>
      <c r="I45" s="54">
        <v>1.9</v>
      </c>
      <c r="J45" s="48"/>
      <c r="K45" s="48"/>
      <c r="L45" s="48"/>
    </row>
    <row r="46" spans="2:12" ht="24.75" customHeight="1">
      <c r="B46" s="49"/>
      <c r="C46" s="50"/>
      <c r="D46" s="47"/>
      <c r="E46" s="60"/>
      <c r="F46" s="60"/>
      <c r="G46" s="48"/>
      <c r="H46" s="61"/>
      <c r="I46" s="48"/>
      <c r="J46" s="48"/>
      <c r="K46" s="48"/>
      <c r="L46" s="48"/>
    </row>
    <row r="47" spans="2:12" ht="24.75" customHeight="1">
      <c r="B47" s="62" t="s">
        <v>102</v>
      </c>
      <c r="C47" s="63">
        <f>F51</f>
        <v>0</v>
      </c>
      <c r="D47" s="47"/>
      <c r="E47" s="797" t="s">
        <v>483</v>
      </c>
      <c r="F47" s="798"/>
      <c r="G47" s="794" t="s">
        <v>103</v>
      </c>
      <c r="H47" s="791" t="s">
        <v>499</v>
      </c>
      <c r="I47" s="792"/>
      <c r="J47" s="792"/>
      <c r="K47" s="792"/>
      <c r="L47" s="793"/>
    </row>
    <row r="48" spans="2:12" ht="24.75" customHeight="1">
      <c r="B48" s="496" t="s">
        <v>358</v>
      </c>
      <c r="C48" s="47"/>
      <c r="D48" s="47"/>
      <c r="E48" s="799"/>
      <c r="F48" s="800"/>
      <c r="G48" s="796"/>
      <c r="H48" s="64" t="s">
        <v>104</v>
      </c>
      <c r="I48" s="64" t="s">
        <v>105</v>
      </c>
      <c r="J48" s="64" t="s">
        <v>106</v>
      </c>
      <c r="K48" s="64" t="s">
        <v>107</v>
      </c>
      <c r="L48" s="64" t="s">
        <v>108</v>
      </c>
    </row>
    <row r="49" spans="2:12" ht="24.75" customHeight="1">
      <c r="B49" s="497" t="s">
        <v>359</v>
      </c>
      <c r="D49" s="47"/>
      <c r="E49" s="65" t="s">
        <v>109</v>
      </c>
      <c r="F49" s="66" t="s">
        <v>104</v>
      </c>
      <c r="G49" s="67" t="s">
        <v>104</v>
      </c>
      <c r="H49" s="54">
        <v>1</v>
      </c>
      <c r="I49" s="54">
        <v>0.95</v>
      </c>
      <c r="J49" s="54">
        <v>1.49</v>
      </c>
      <c r="K49" s="54">
        <v>0.95</v>
      </c>
      <c r="L49" s="54">
        <v>1.03</v>
      </c>
    </row>
    <row r="50" spans="2:12" ht="24.75" customHeight="1">
      <c r="B50" s="68" t="s">
        <v>110</v>
      </c>
      <c r="C50" s="69">
        <f>C47*0.475</f>
        <v>0</v>
      </c>
      <c r="D50" s="68" t="s">
        <v>111</v>
      </c>
      <c r="E50" s="65" t="s">
        <v>112</v>
      </c>
      <c r="F50" s="70" t="s">
        <v>104</v>
      </c>
      <c r="G50" s="67" t="s">
        <v>105</v>
      </c>
      <c r="H50" s="54">
        <v>1.05</v>
      </c>
      <c r="I50" s="54">
        <v>1</v>
      </c>
      <c r="J50" s="54">
        <v>1.57</v>
      </c>
      <c r="K50" s="54">
        <v>1.1399999999999999</v>
      </c>
      <c r="L50" s="54">
        <v>1.05</v>
      </c>
    </row>
    <row r="51" spans="2:12" ht="24.75" customHeight="1">
      <c r="B51" s="528" t="s">
        <v>521</v>
      </c>
      <c r="D51" s="68"/>
      <c r="E51" s="71"/>
      <c r="F51" s="256">
        <f>IF(AND(F49=G49,F50=H48),F44*H49,IF(AND(F49=G49,F50=I48),F44*I49,IF(AND(F49=G49,F50=J48),F44*J49,IF(AND(F49=G49,F50=K48),F44*K49,IF(AND(F49=G49,F50=L48),F44*L49,IF(AND(F49=G50,F50=H48),F44*H50,IF(AND(F49=G50,F50=I48),F44*I50,IF(AND(F49=G50,F50=J48),F44*J50,IF(AND(F49=G50,F50=K48),F44*K50,IF(AND(F49=G50,F50=L48),F44*L50,IF(AND(F49=G51,F50=H48),F44*H51,IF(AND(F49=G51,F50=I48),F44*I51,IF(AND(F49=G51,F50=J48),F44*J51,IF(AND(F49=G51,F50=K48),F44*K51,IF(AND(F49=G51,F50=L48),F44*L51,IF(AND(F49=G52,F50=H48),F44*H52,IF(AND(F49=G52,F50=I48),F44*I52,IF(AND(F49=G52,F50=J48),F44*J52,IF(AND(F49=G52,F50=K48),F44*K52,IF(AND(F49=G52,F50=L48),F44*L52,IF(AND(F49=G53,F50=H48),F44*H53,IF(AND(F49=G53,F50=I48),F44*I53,IF(AND(F49=G53,F50=J48),F44*J53,IF(AND(F49=G53,F50=K48),F44*K53,IF(AND(F49=G53,F50=L48),F44*L53,"errore o dati mancanti")))))))))))))))))))))))))</f>
        <v>0</v>
      </c>
      <c r="G51" s="67" t="s">
        <v>106</v>
      </c>
      <c r="H51" s="54">
        <v>0.67</v>
      </c>
      <c r="I51" s="54">
        <v>0.64</v>
      </c>
      <c r="J51" s="54">
        <v>1</v>
      </c>
      <c r="K51" s="54">
        <v>0.63</v>
      </c>
      <c r="L51" s="54">
        <v>0.69</v>
      </c>
    </row>
    <row r="52" spans="2:12" ht="24.75" customHeight="1">
      <c r="B52" s="529" t="s">
        <v>522</v>
      </c>
      <c r="C52" s="47"/>
      <c r="D52" s="47"/>
      <c r="E52" s="72"/>
      <c r="F52" s="60"/>
      <c r="G52" s="67" t="s">
        <v>107</v>
      </c>
      <c r="H52" s="54">
        <v>1.0900000000000001</v>
      </c>
      <c r="I52" s="54">
        <v>0.88</v>
      </c>
      <c r="J52" s="54">
        <v>1.61</v>
      </c>
      <c r="K52" s="54">
        <v>1</v>
      </c>
      <c r="L52" s="54">
        <v>1.19</v>
      </c>
    </row>
    <row r="53" spans="2:12" ht="24.75" customHeight="1">
      <c r="B53" s="530" t="s">
        <v>523</v>
      </c>
      <c r="C53" s="47"/>
      <c r="D53" s="47"/>
      <c r="E53" s="73"/>
      <c r="F53" s="58"/>
      <c r="G53" s="74" t="s">
        <v>108</v>
      </c>
      <c r="H53" s="54">
        <v>0.97</v>
      </c>
      <c r="I53" s="54">
        <v>0.95</v>
      </c>
      <c r="J53" s="54">
        <v>1.45</v>
      </c>
      <c r="K53" s="54">
        <v>0.84</v>
      </c>
      <c r="L53" s="54">
        <v>1</v>
      </c>
    </row>
    <row r="54" spans="2:12" ht="24.75" customHeight="1"/>
    <row r="55" spans="2:12" ht="24.75" customHeight="1">
      <c r="B55" s="6" t="s">
        <v>113</v>
      </c>
    </row>
    <row r="56" spans="2:12" ht="24.75" customHeight="1">
      <c r="B56" s="75" t="s">
        <v>114</v>
      </c>
      <c r="C56" s="76">
        <f>C50*(100+G28)/100</f>
        <v>0</v>
      </c>
      <c r="D56" s="77" t="s">
        <v>111</v>
      </c>
    </row>
    <row r="57" spans="2:12" ht="24.75" customHeight="1">
      <c r="B57" s="44" t="s">
        <v>115</v>
      </c>
      <c r="E57" s="78"/>
      <c r="G57" s="79"/>
    </row>
    <row r="58" spans="2:12" ht="24.75" customHeight="1">
      <c r="B58" s="80" t="s">
        <v>116</v>
      </c>
    </row>
    <row r="59" spans="2:12" ht="24.75" customHeight="1">
      <c r="B59" s="80" t="s">
        <v>117</v>
      </c>
    </row>
    <row r="60" spans="2:12" ht="24.75" customHeight="1" thickBot="1"/>
    <row r="61" spans="2:12" ht="24.75" customHeight="1">
      <c r="B61" s="81" t="s">
        <v>118</v>
      </c>
      <c r="C61" s="82"/>
      <c r="D61" s="82"/>
      <c r="E61" s="82"/>
      <c r="F61" s="83"/>
      <c r="G61" s="83"/>
      <c r="H61" s="84"/>
    </row>
    <row r="62" spans="2:12" ht="24.75" customHeight="1">
      <c r="B62" s="85" t="s">
        <v>119</v>
      </c>
      <c r="F62" s="86"/>
      <c r="G62" s="86"/>
      <c r="H62" s="87"/>
    </row>
    <row r="63" spans="2:12" s="44" customFormat="1" ht="24.75" customHeight="1">
      <c r="B63" s="88" t="s">
        <v>120</v>
      </c>
      <c r="F63" s="89" t="str">
        <f>IF(H73&gt;25,"&gt; 25 €/mq, pertanto:", "&lt; 25 €/mq, pertanto:")</f>
        <v>&lt; 25 €/mq, pertanto:</v>
      </c>
      <c r="G63" s="75" t="s">
        <v>121</v>
      </c>
      <c r="H63" s="90" t="str">
        <f>IF(H73&lt;25,"25",H73)</f>
        <v>25</v>
      </c>
    </row>
    <row r="64" spans="2:12" ht="24.75" customHeight="1">
      <c r="B64" s="91" t="s">
        <v>115</v>
      </c>
      <c r="H64" s="92"/>
      <c r="K64" s="93"/>
    </row>
    <row r="65" spans="2:11" ht="24.75" customHeight="1">
      <c r="B65" s="94" t="s">
        <v>122</v>
      </c>
      <c r="H65" s="92"/>
    </row>
    <row r="66" spans="2:11" ht="24.75" customHeight="1">
      <c r="B66" s="94" t="s">
        <v>123</v>
      </c>
      <c r="H66" s="95"/>
    </row>
    <row r="67" spans="2:11" ht="24.75" customHeight="1">
      <c r="B67" s="801" t="s">
        <v>124</v>
      </c>
      <c r="C67" s="802"/>
      <c r="D67" s="802"/>
      <c r="E67" s="802"/>
      <c r="F67" s="802"/>
      <c r="G67" s="802"/>
      <c r="H67" s="96"/>
    </row>
    <row r="68" spans="2:11" s="44" customFormat="1" ht="24.75" customHeight="1">
      <c r="B68" s="88"/>
      <c r="C68" s="97" t="s">
        <v>125</v>
      </c>
      <c r="D68" s="98" t="s">
        <v>126</v>
      </c>
      <c r="E68" s="75" t="s">
        <v>127</v>
      </c>
      <c r="F68" s="77">
        <f>IF(D68="SI",20,IF(D68="NO",H88))</f>
        <v>5</v>
      </c>
      <c r="G68" s="99">
        <v>0</v>
      </c>
      <c r="H68" s="100" t="s">
        <v>126</v>
      </c>
    </row>
    <row r="69" spans="2:11" ht="24.75" customHeight="1">
      <c r="B69" s="94" t="s">
        <v>128</v>
      </c>
      <c r="C69" s="101"/>
      <c r="D69" s="101"/>
      <c r="E69" s="101"/>
      <c r="F69" s="102"/>
      <c r="G69" s="99">
        <v>35</v>
      </c>
      <c r="H69" s="100" t="s">
        <v>129</v>
      </c>
      <c r="J69" s="388"/>
    </row>
    <row r="70" spans="2:11" ht="50.1" customHeight="1">
      <c r="B70" s="788" t="s">
        <v>532</v>
      </c>
      <c r="C70" s="789"/>
      <c r="D70" s="789"/>
      <c r="E70" s="789"/>
      <c r="F70" s="789"/>
      <c r="G70" s="790"/>
      <c r="H70" s="393" t="s">
        <v>126</v>
      </c>
    </row>
    <row r="71" spans="2:11" ht="24.75" customHeight="1" thickBot="1">
      <c r="B71" s="103"/>
      <c r="C71" s="104"/>
      <c r="D71" s="104"/>
      <c r="E71" s="104"/>
      <c r="F71" s="104"/>
      <c r="G71" s="104"/>
      <c r="H71" s="105"/>
    </row>
    <row r="72" spans="2:11" ht="30" customHeight="1" thickBot="1">
      <c r="B72" s="106"/>
      <c r="C72" s="107" t="s">
        <v>130</v>
      </c>
      <c r="D72" s="466">
        <f>IF(H70="SI",D74,IF(H70="NO",D73))</f>
        <v>0</v>
      </c>
      <c r="E72" s="108"/>
      <c r="F72" s="109"/>
      <c r="G72" s="110"/>
      <c r="H72" s="111"/>
      <c r="K72" s="112"/>
    </row>
    <row r="73" spans="2:11" s="113" customFormat="1" ht="24.75" hidden="1" customHeight="1">
      <c r="C73" s="114" t="s">
        <v>131</v>
      </c>
      <c r="D73" s="115">
        <f>(H63*C20*(1-0/100))</f>
        <v>0</v>
      </c>
      <c r="E73" s="116"/>
      <c r="G73" s="117"/>
      <c r="H73" s="118">
        <f>C56*F68/100</f>
        <v>0</v>
      </c>
      <c r="K73" s="119"/>
    </row>
    <row r="74" spans="2:11" s="113" customFormat="1" ht="24.75" hidden="1" customHeight="1">
      <c r="C74" s="114" t="s">
        <v>131</v>
      </c>
      <c r="D74" s="115">
        <f>(H63*C20*(1-0/100))*(1-G69/100)</f>
        <v>0</v>
      </c>
      <c r="E74" s="116"/>
      <c r="G74" s="117"/>
      <c r="H74" s="118"/>
      <c r="K74" s="119"/>
    </row>
    <row r="75" spans="2:11" s="113" customFormat="1" ht="24.75" customHeight="1">
      <c r="C75" s="114"/>
      <c r="D75" s="115"/>
      <c r="E75" s="116"/>
      <c r="F75" s="116"/>
      <c r="G75" s="116"/>
      <c r="H75" s="204" t="s">
        <v>360</v>
      </c>
      <c r="K75" s="119"/>
    </row>
    <row r="76" spans="2:11" s="360" customFormat="1">
      <c r="B76" s="361" t="s">
        <v>132</v>
      </c>
      <c r="H76" s="204" t="s">
        <v>361</v>
      </c>
    </row>
    <row r="77" spans="2:11" s="360" customFormat="1" ht="22.5" customHeight="1">
      <c r="B77" s="362" t="s">
        <v>133</v>
      </c>
      <c r="C77" s="362" t="s">
        <v>134</v>
      </c>
      <c r="D77" s="362" t="s">
        <v>52</v>
      </c>
    </row>
    <row r="78" spans="2:11" s="360" customFormat="1">
      <c r="B78" s="362" t="s">
        <v>135</v>
      </c>
      <c r="C78" s="362">
        <v>5</v>
      </c>
      <c r="D78" s="362" t="str">
        <f>IF(C56&lt;=500,"1","0")</f>
        <v>1</v>
      </c>
    </row>
    <row r="79" spans="2:11" s="360" customFormat="1">
      <c r="B79" s="362" t="s">
        <v>136</v>
      </c>
      <c r="C79" s="362">
        <v>6</v>
      </c>
      <c r="D79" s="362" t="str">
        <f>IF(AND(C56&gt;500,C56&lt;=1000),"1","0")</f>
        <v>0</v>
      </c>
    </row>
    <row r="80" spans="2:11" s="360" customFormat="1">
      <c r="B80" s="362" t="s">
        <v>137</v>
      </c>
      <c r="C80" s="362">
        <v>7</v>
      </c>
      <c r="D80" s="362" t="str">
        <f>IF(AND(C56&gt;1000,C56&lt;=1500),"1","0")</f>
        <v>0</v>
      </c>
    </row>
    <row r="81" spans="2:8" s="360" customFormat="1">
      <c r="B81" s="362" t="s">
        <v>138</v>
      </c>
      <c r="C81" s="362">
        <v>8</v>
      </c>
      <c r="D81" s="362" t="str">
        <f>IF(AND(C56&gt;1500,C56&lt;=2000),"1","0")</f>
        <v>0</v>
      </c>
    </row>
    <row r="82" spans="2:8" s="360" customFormat="1">
      <c r="B82" s="362" t="s">
        <v>139</v>
      </c>
      <c r="C82" s="362">
        <v>9</v>
      </c>
      <c r="D82" s="362" t="str">
        <f>IF(AND(C56&gt;2000,C56&lt;=2500),"1","0")</f>
        <v>0</v>
      </c>
    </row>
    <row r="83" spans="2:8" s="360" customFormat="1">
      <c r="B83" s="362" t="s">
        <v>140</v>
      </c>
      <c r="C83" s="362">
        <v>10</v>
      </c>
      <c r="D83" s="362" t="str">
        <f>IF(AND(C56&gt;2500,C56&lt;=3000),"1","0")</f>
        <v>0</v>
      </c>
    </row>
    <row r="84" spans="2:8" s="360" customFormat="1">
      <c r="B84" s="362" t="s">
        <v>141</v>
      </c>
      <c r="C84" s="362">
        <v>11</v>
      </c>
      <c r="D84" s="362" t="str">
        <f>IF(AND(C56&gt;3000,C56&lt;=3500),"1","0")</f>
        <v>0</v>
      </c>
    </row>
    <row r="85" spans="2:8" s="360" customFormat="1">
      <c r="B85" s="362" t="s">
        <v>142</v>
      </c>
      <c r="C85" s="362">
        <v>12</v>
      </c>
      <c r="D85" s="362" t="str">
        <f>IF(AND(C56&gt;3500,C56&lt;=4000),"1","0")</f>
        <v>0</v>
      </c>
    </row>
    <row r="86" spans="2:8" s="360" customFormat="1">
      <c r="B86" s="362" t="s">
        <v>143</v>
      </c>
      <c r="C86" s="362">
        <v>13</v>
      </c>
      <c r="D86" s="362" t="str">
        <f>IF(AND(C56&gt;4000,C56&lt;=4500),"1","0")</f>
        <v>0</v>
      </c>
    </row>
    <row r="87" spans="2:8" s="360" customFormat="1">
      <c r="B87" s="362" t="s">
        <v>144</v>
      </c>
      <c r="C87" s="362">
        <v>14</v>
      </c>
      <c r="D87" s="362" t="str">
        <f>IF(C56&gt;4500,"1","0")</f>
        <v>0</v>
      </c>
    </row>
    <row r="88" spans="2:8" s="360" customFormat="1">
      <c r="B88" s="363"/>
      <c r="C88" s="363"/>
      <c r="D88" s="363"/>
      <c r="G88" s="364" t="s">
        <v>127</v>
      </c>
      <c r="H88" s="364">
        <f>C78*D78+C79*D79+C80*D80+C81*D81+C82*D82+C83*D83+C84*D84+C85*D85+C86*D86+C87*D87</f>
        <v>5</v>
      </c>
    </row>
    <row r="89" spans="2:8" s="360" customFormat="1" ht="10.5" customHeight="1"/>
    <row r="90" spans="2:8" s="360" customFormat="1">
      <c r="B90" s="362" t="s">
        <v>66</v>
      </c>
      <c r="C90" s="362" t="s">
        <v>145</v>
      </c>
      <c r="D90" s="362" t="s">
        <v>146</v>
      </c>
      <c r="E90" s="362" t="s">
        <v>52</v>
      </c>
      <c r="G90" s="365" t="s">
        <v>64</v>
      </c>
      <c r="H90" s="364">
        <f>E91*C91+E92*C92+E93*C93+E94*C94+E95*C95+E96*C96+E97*C97+E98*C98+E99*C99+E100*C100+E101*C101</f>
        <v>1</v>
      </c>
    </row>
    <row r="91" spans="2:8" s="360" customFormat="1">
      <c r="B91" s="366" t="s">
        <v>68</v>
      </c>
      <c r="C91" s="367">
        <v>1</v>
      </c>
      <c r="D91" s="367">
        <v>0</v>
      </c>
      <c r="E91" s="367" t="str">
        <f>IF(C28&lt;=5,"1","0")</f>
        <v>1</v>
      </c>
      <c r="G91" s="365" t="s">
        <v>65</v>
      </c>
      <c r="H91" s="368">
        <f>E91*D91+E92*D92+E93*D93+E94*D94+E95*D95+E96*D96+E97*D97+E98*D98+E99*D99+E100*D100+E101*D101</f>
        <v>0</v>
      </c>
    </row>
    <row r="92" spans="2:8" s="360" customFormat="1">
      <c r="B92" s="366" t="s">
        <v>72</v>
      </c>
      <c r="C92" s="367">
        <v>2</v>
      </c>
      <c r="D92" s="367">
        <v>5</v>
      </c>
      <c r="E92" s="367" t="str">
        <f>IF(AND(C28&gt;5,C28&lt;=10),"1","0")</f>
        <v>0</v>
      </c>
    </row>
    <row r="93" spans="2:8" s="360" customFormat="1">
      <c r="B93" s="366" t="s">
        <v>76</v>
      </c>
      <c r="C93" s="367">
        <v>3</v>
      </c>
      <c r="D93" s="367">
        <v>10</v>
      </c>
      <c r="E93" s="367" t="str">
        <f>IF(AND(C28&gt;10,C28&lt;=15),"1","0")</f>
        <v>0</v>
      </c>
    </row>
    <row r="94" spans="2:8" s="360" customFormat="1">
      <c r="B94" s="366" t="s">
        <v>80</v>
      </c>
      <c r="C94" s="367">
        <v>4</v>
      </c>
      <c r="D94" s="367">
        <v>15</v>
      </c>
      <c r="E94" s="367" t="str">
        <f>IF(AND(C28&gt;15,C28&lt;=20),"1","0")</f>
        <v>0</v>
      </c>
    </row>
    <row r="95" spans="2:8" s="360" customFormat="1">
      <c r="B95" s="366" t="s">
        <v>84</v>
      </c>
      <c r="C95" s="367">
        <v>5</v>
      </c>
      <c r="D95" s="367">
        <v>20</v>
      </c>
      <c r="E95" s="367" t="str">
        <f>IF(AND(C28&gt;20,C28&lt;=25),"1","0")</f>
        <v>0</v>
      </c>
    </row>
    <row r="96" spans="2:8" s="360" customFormat="1">
      <c r="B96" s="366" t="s">
        <v>88</v>
      </c>
      <c r="C96" s="367">
        <v>6</v>
      </c>
      <c r="D96" s="367">
        <v>25</v>
      </c>
      <c r="E96" s="367" t="str">
        <f>IF(AND(C28&gt;25,C28&lt;=30),"1","0")</f>
        <v>0</v>
      </c>
    </row>
    <row r="97" spans="2:9" s="360" customFormat="1">
      <c r="B97" s="366" t="s">
        <v>70</v>
      </c>
      <c r="C97" s="367">
        <v>7</v>
      </c>
      <c r="D97" s="367">
        <v>30</v>
      </c>
      <c r="E97" s="367" t="str">
        <f>IF(AND(C28&gt;30,C28&lt;=35),"1","0")</f>
        <v>0</v>
      </c>
    </row>
    <row r="98" spans="2:9" s="360" customFormat="1">
      <c r="B98" s="366" t="s">
        <v>74</v>
      </c>
      <c r="C98" s="367">
        <v>8</v>
      </c>
      <c r="D98" s="367">
        <v>35</v>
      </c>
      <c r="E98" s="367" t="str">
        <f>IF(AND(C28&gt;35,C28&lt;=40),"1","0")</f>
        <v>0</v>
      </c>
    </row>
    <row r="99" spans="2:9" s="360" customFormat="1">
      <c r="B99" s="366" t="s">
        <v>78</v>
      </c>
      <c r="C99" s="367">
        <v>9</v>
      </c>
      <c r="D99" s="367">
        <v>40</v>
      </c>
      <c r="E99" s="367" t="str">
        <f>IF(AND(C28&gt;40,C28&lt;=45),"1","0")</f>
        <v>0</v>
      </c>
    </row>
    <row r="100" spans="2:9" s="360" customFormat="1">
      <c r="B100" s="366" t="s">
        <v>82</v>
      </c>
      <c r="C100" s="367">
        <v>10</v>
      </c>
      <c r="D100" s="367">
        <v>45</v>
      </c>
      <c r="E100" s="367" t="str">
        <f>IF(AND(C28&gt;45,C28&lt;=50),"1","0")</f>
        <v>0</v>
      </c>
    </row>
    <row r="101" spans="2:9" s="360" customFormat="1">
      <c r="B101" s="366" t="s">
        <v>86</v>
      </c>
      <c r="C101" s="367">
        <v>11</v>
      </c>
      <c r="D101" s="367">
        <v>50</v>
      </c>
      <c r="E101" s="367" t="str">
        <f>IF(C28&gt;50,"1","0")</f>
        <v>0</v>
      </c>
    </row>
    <row r="102" spans="2:9">
      <c r="E102" s="120"/>
      <c r="F102" s="120"/>
      <c r="G102" s="120"/>
      <c r="H102" s="120"/>
      <c r="I102" s="120"/>
    </row>
  </sheetData>
  <sheetProtection algorithmName="SHA-512" hashValue="53QuVK7JDq378URS0eZVFoLe3XXOhWPUxGUai5r8bWiJkb5lTngvWTHc3srmdnbVLAMfD7iRx/e5ZKxGz6NUZw==" saltValue="vJLFv5VsaPsn2pKB2/H+ow==" spinCount="100000" sheet="1" objects="1" scenarios="1" selectLockedCells="1"/>
  <mergeCells count="20">
    <mergeCell ref="C2:H2"/>
    <mergeCell ref="C3:H3"/>
    <mergeCell ref="B5:H5"/>
    <mergeCell ref="D18:E20"/>
    <mergeCell ref="F18:F20"/>
    <mergeCell ref="G18:G20"/>
    <mergeCell ref="D21:E21"/>
    <mergeCell ref="D22:E22"/>
    <mergeCell ref="D23:E23"/>
    <mergeCell ref="D24:E24"/>
    <mergeCell ref="C39:E39"/>
    <mergeCell ref="B70:G70"/>
    <mergeCell ref="G42:I42"/>
    <mergeCell ref="G43:G45"/>
    <mergeCell ref="E47:F48"/>
    <mergeCell ref="G47:G48"/>
    <mergeCell ref="H47:L47"/>
    <mergeCell ref="B67:G67"/>
    <mergeCell ref="B42:C42"/>
    <mergeCell ref="E42:F42"/>
  </mergeCells>
  <conditionalFormatting sqref="C47">
    <cfRule type="expression" dxfId="37" priority="1">
      <formula>$D$11="errore o dati mancanti"</formula>
    </cfRule>
  </conditionalFormatting>
  <conditionalFormatting sqref="F49:F50">
    <cfRule type="expression" dxfId="36" priority="2">
      <formula>#REF!&lt;&gt;"Residenziale"</formula>
    </cfRule>
  </conditionalFormatting>
  <dataValidations count="4">
    <dataValidation type="list" allowBlank="1" showInputMessage="1" showErrorMessage="1" sqref="F49">
      <formula1>$H$48:$L$48</formula1>
    </dataValidation>
    <dataValidation type="list" allowBlank="1" showInputMessage="1" showErrorMessage="1" sqref="F43">
      <formula1>$H$43:$H$45</formula1>
    </dataValidation>
    <dataValidation type="list" allowBlank="1" showInputMessage="1" showErrorMessage="1" sqref="F50">
      <formula1>$G$49:$G$53</formula1>
    </dataValidation>
    <dataValidation type="list" allowBlank="1" showInputMessage="1" showErrorMessage="1" sqref="D68">
      <formula1>$H$68:$H$69</formula1>
    </dataValidation>
  </dataValidations>
  <hyperlinks>
    <hyperlink ref="C39" r:id="rId1"/>
  </hyperlinks>
  <pageMargins left="0.7" right="0.7" top="0.75" bottom="0.75" header="0.3" footer="0.3"/>
  <pageSetup paperSize="8" scale="67" orientation="portrait" horizontalDpi="1200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B1:Z58"/>
  <sheetViews>
    <sheetView showGridLines="0" zoomScaleNormal="100" workbookViewId="0">
      <selection activeCell="D10" sqref="D10"/>
    </sheetView>
  </sheetViews>
  <sheetFormatPr defaultColWidth="9.140625" defaultRowHeight="12.75"/>
  <cols>
    <col min="1" max="1" width="5.5703125" style="4" customWidth="1"/>
    <col min="2" max="2" width="24.85546875" style="4" customWidth="1"/>
    <col min="3" max="3" width="13.85546875" style="4" customWidth="1"/>
    <col min="4" max="4" width="7.42578125" style="4" customWidth="1"/>
    <col min="5" max="5" width="12.5703125" style="4" customWidth="1"/>
    <col min="6" max="7" width="7.42578125" style="4" customWidth="1"/>
    <col min="8" max="8" width="12.5703125" style="4" customWidth="1"/>
    <col min="9" max="10" width="7.42578125" style="4" customWidth="1"/>
    <col min="11" max="11" width="12.5703125" style="4" customWidth="1"/>
    <col min="12" max="13" width="7.42578125" style="4" customWidth="1"/>
    <col min="14" max="14" width="9.42578125" style="4" customWidth="1"/>
    <col min="15" max="15" width="8.5703125" style="4" customWidth="1"/>
    <col min="16" max="16" width="25.5703125" style="4" customWidth="1"/>
    <col min="17" max="17" width="14.42578125" style="4" customWidth="1"/>
    <col min="18" max="18" width="3.5703125" style="4" customWidth="1"/>
    <col min="19" max="19" width="25.5703125" style="4" customWidth="1"/>
    <col min="20" max="20" width="15.85546875" style="4" customWidth="1"/>
    <col min="21" max="27" width="12.5703125" style="4" customWidth="1"/>
    <col min="28" max="16384" width="9.140625" style="4"/>
  </cols>
  <sheetData>
    <row r="1" spans="2:16" ht="13.5" thickBot="1"/>
    <row r="2" spans="2:16" ht="35.1" customHeight="1">
      <c r="B2" s="337" t="s">
        <v>325</v>
      </c>
      <c r="C2" s="809" t="s">
        <v>357</v>
      </c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  <c r="O2" s="811"/>
    </row>
    <row r="3" spans="2:16" ht="35.1" customHeight="1" thickBot="1">
      <c r="B3" s="338" t="s">
        <v>319</v>
      </c>
      <c r="C3" s="812" t="s">
        <v>524</v>
      </c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4"/>
    </row>
    <row r="4" spans="2:16" ht="9.9499999999999993" customHeight="1">
      <c r="B4" s="339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</row>
    <row r="5" spans="2:16" ht="24.95" customHeight="1">
      <c r="B5" s="815" t="s">
        <v>24</v>
      </c>
      <c r="C5" s="845"/>
      <c r="D5" s="845"/>
      <c r="E5" s="845"/>
      <c r="F5" s="845"/>
      <c r="G5" s="845"/>
      <c r="H5" s="845"/>
      <c r="I5" s="845"/>
      <c r="J5" s="845"/>
      <c r="K5" s="845"/>
      <c r="L5" s="845"/>
      <c r="M5" s="845"/>
      <c r="N5" s="845"/>
      <c r="O5" s="846"/>
    </row>
    <row r="6" spans="2:16" ht="24.95" customHeight="1">
      <c r="B6" s="6" t="s">
        <v>148</v>
      </c>
    </row>
    <row r="7" spans="2:16" ht="24.95" customHeight="1">
      <c r="B7" s="7" t="s">
        <v>334</v>
      </c>
    </row>
    <row r="8" spans="2:16" s="9" customFormat="1" ht="24.95" customHeight="1">
      <c r="B8" s="847" t="s">
        <v>149</v>
      </c>
      <c r="C8" s="847"/>
      <c r="D8" s="847" t="s">
        <v>150</v>
      </c>
      <c r="E8" s="847"/>
      <c r="F8" s="847"/>
      <c r="G8" s="847"/>
      <c r="H8" s="847"/>
      <c r="I8" s="847"/>
      <c r="J8" s="847"/>
      <c r="K8" s="847"/>
      <c r="L8" s="847"/>
      <c r="M8" s="847"/>
      <c r="N8" s="847"/>
      <c r="P8" s="137" t="s">
        <v>611</v>
      </c>
    </row>
    <row r="9" spans="2:16" s="9" customFormat="1" ht="24.95" customHeight="1">
      <c r="B9" s="581"/>
      <c r="C9" s="581"/>
      <c r="D9" s="121">
        <v>10</v>
      </c>
      <c r="E9" s="121">
        <v>20</v>
      </c>
      <c r="F9" s="121">
        <v>30</v>
      </c>
      <c r="G9" s="121">
        <v>40</v>
      </c>
      <c r="H9" s="121">
        <v>50</v>
      </c>
      <c r="I9" s="121">
        <v>60</v>
      </c>
      <c r="J9" s="121">
        <v>70</v>
      </c>
      <c r="K9" s="121">
        <v>80</v>
      </c>
      <c r="L9" s="121">
        <v>90</v>
      </c>
      <c r="M9" s="121">
        <v>100</v>
      </c>
      <c r="N9" s="464" t="s">
        <v>363</v>
      </c>
      <c r="P9" s="137" t="s">
        <v>476</v>
      </c>
    </row>
    <row r="10" spans="2:16" s="12" customFormat="1" ht="15" customHeight="1">
      <c r="B10" s="122" t="s">
        <v>151</v>
      </c>
      <c r="C10" s="465">
        <v>0.05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464">
        <f>0.05*D10*0.1+0.05*E10*0.2+0.05*F10*0.3+0.05*G10*0.4+0.05*H10*0.5+0.05*I10*0.6+0.05*J10*0.7+0.05*K10*0.8+0.05*L10*0.9+0.05*M10</f>
        <v>0</v>
      </c>
    </row>
    <row r="11" spans="2:16" s="9" customFormat="1" ht="15" customHeight="1">
      <c r="B11" s="122" t="s">
        <v>152</v>
      </c>
      <c r="C11" s="844">
        <v>0.2</v>
      </c>
      <c r="D11" s="841"/>
      <c r="E11" s="841"/>
      <c r="F11" s="841"/>
      <c r="G11" s="841"/>
      <c r="H11" s="841"/>
      <c r="I11" s="841"/>
      <c r="J11" s="841"/>
      <c r="K11" s="841"/>
      <c r="L11" s="841"/>
      <c r="M11" s="841"/>
      <c r="N11" s="836">
        <f>0.2*D11*0.1+0.2*E11*0.2+0.2*F11*0.3+0.2*G11*0.4+0.2*H11*0.5+0.2*I11*0.6+0.2*J11*0.7+0.2*K11*0.8+0.2*L11*0.9+0.2*M11</f>
        <v>0</v>
      </c>
      <c r="P11" s="137" t="s">
        <v>612</v>
      </c>
    </row>
    <row r="12" spans="2:16" s="9" customFormat="1" ht="15" customHeight="1">
      <c r="B12" s="122" t="s">
        <v>153</v>
      </c>
      <c r="C12" s="844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36"/>
    </row>
    <row r="13" spans="2:16" s="9" customFormat="1" ht="15" customHeight="1">
      <c r="B13" s="122" t="s">
        <v>154</v>
      </c>
      <c r="C13" s="844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36"/>
    </row>
    <row r="14" spans="2:16" s="9" customFormat="1" ht="15" customHeight="1">
      <c r="B14" s="122" t="s">
        <v>155</v>
      </c>
      <c r="C14" s="465">
        <v>0.1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464">
        <f>0.1*D14*0.1+0.1*E14*0.2+0.1*F14*0.3+0.1*G14*0.4+0.1*H14*0.5+0.1*I14*0.6+0.1*J14*0.7+0.1*K14*0.8+0.1*L14*0.9+0.1*M14</f>
        <v>0</v>
      </c>
    </row>
    <row r="15" spans="2:16" s="9" customFormat="1" ht="15" customHeight="1">
      <c r="B15" s="122" t="s">
        <v>156</v>
      </c>
      <c r="C15" s="465">
        <v>0.05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464">
        <f>0.05*D15*0.1+0.05*E15*0.2+0.05*F15*0.3+0.05*G15*0.4+0.05*H15*0.5+0.05*I15*0.6+0.05*J15*0.7+0.05*K15*0.8+0.05*L15*0.9+0.05*M15</f>
        <v>0</v>
      </c>
      <c r="O15" s="124"/>
    </row>
    <row r="16" spans="2:16" s="9" customFormat="1" ht="15" customHeight="1">
      <c r="B16" s="122" t="s">
        <v>157</v>
      </c>
      <c r="C16" s="465">
        <v>0.1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464">
        <f>0.1*D16*0.1+0.1*E16*0.2+0.1*F16*0.3+0.1*G16*0.4+0.1*H16*0.5+0.1*I16*0.6+0.1*J16*0.7+0.1*K16*0.8+0.1*L16*0.9+0.1*M16</f>
        <v>0</v>
      </c>
      <c r="O16" s="124">
        <v>1</v>
      </c>
    </row>
    <row r="17" spans="2:26" s="127" customFormat="1" ht="15" customHeight="1">
      <c r="B17" s="125" t="s">
        <v>158</v>
      </c>
      <c r="C17" s="126"/>
      <c r="D17" s="126"/>
      <c r="E17" s="126"/>
      <c r="F17" s="126"/>
      <c r="G17" s="126"/>
      <c r="H17" s="126"/>
      <c r="I17" s="126"/>
      <c r="J17" s="126"/>
      <c r="K17" s="126"/>
      <c r="L17" s="837" t="s">
        <v>159</v>
      </c>
      <c r="M17" s="838"/>
      <c r="N17" s="463">
        <f>SUM(N10:N16)</f>
        <v>0</v>
      </c>
    </row>
    <row r="18" spans="2:26" s="9" customFormat="1" ht="15" customHeight="1">
      <c r="B18" s="125" t="s">
        <v>160</v>
      </c>
      <c r="C18" s="126"/>
      <c r="D18" s="126"/>
      <c r="E18" s="126"/>
      <c r="F18" s="126"/>
      <c r="G18" s="126"/>
      <c r="H18" s="126"/>
      <c r="I18" s="126"/>
      <c r="J18" s="126"/>
      <c r="K18" s="126"/>
      <c r="L18" s="837" t="s">
        <v>161</v>
      </c>
      <c r="M18" s="838"/>
      <c r="N18" s="463">
        <f>N17</f>
        <v>0</v>
      </c>
    </row>
    <row r="19" spans="2:26" s="9" customFormat="1" ht="15" customHeight="1">
      <c r="B19" s="839" t="s">
        <v>162</v>
      </c>
      <c r="C19" s="839"/>
      <c r="D19" s="839"/>
      <c r="E19" s="839"/>
      <c r="F19" s="839"/>
      <c r="G19" s="839"/>
      <c r="H19" s="839"/>
      <c r="I19" s="839"/>
      <c r="J19" s="839"/>
      <c r="K19" s="839"/>
      <c r="L19" s="839"/>
      <c r="M19" s="839"/>
      <c r="N19" s="463">
        <f>N17+N18</f>
        <v>0</v>
      </c>
    </row>
    <row r="20" spans="2:26" s="9" customFormat="1" ht="15" customHeight="1">
      <c r="B20" s="357"/>
      <c r="K20" s="128"/>
      <c r="L20" s="129"/>
      <c r="M20" s="129"/>
      <c r="N20" s="130" t="str">
        <f>IF(N17&lt;=0.5,"max 50%VERIFICATO","max 50 % NON VERIFICATO")</f>
        <v>max 50%VERIFICATO</v>
      </c>
    </row>
    <row r="21" spans="2:26" s="9" customFormat="1" ht="24.95" customHeight="1">
      <c r="B21" s="128"/>
      <c r="K21" s="128"/>
      <c r="L21" s="129"/>
      <c r="M21" s="129"/>
      <c r="N21" s="130"/>
    </row>
    <row r="22" spans="2:26" ht="24.75" customHeight="1">
      <c r="B22" s="6" t="s">
        <v>163</v>
      </c>
      <c r="L22" s="32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2:26" ht="24.75" customHeight="1">
      <c r="B23" s="45" t="s">
        <v>428</v>
      </c>
      <c r="C23" s="807" t="s">
        <v>92</v>
      </c>
      <c r="D23" s="840"/>
      <c r="E23" s="840"/>
      <c r="F23" s="840"/>
      <c r="G23" s="840"/>
      <c r="H23" s="840"/>
      <c r="L23" s="32"/>
      <c r="P23" s="632" t="s">
        <v>373</v>
      </c>
      <c r="Q23" s="803"/>
      <c r="R23" s="44"/>
      <c r="S23" s="830" t="s">
        <v>430</v>
      </c>
      <c r="T23" s="831"/>
      <c r="U23" s="791" t="s">
        <v>94</v>
      </c>
      <c r="V23" s="792"/>
      <c r="W23" s="793"/>
      <c r="X23" s="131"/>
      <c r="Y23" s="131"/>
      <c r="Z23" s="131"/>
    </row>
    <row r="24" spans="2:26" ht="24.75" customHeight="1">
      <c r="B24" s="6"/>
      <c r="C24" s="369" t="s">
        <v>336</v>
      </c>
      <c r="L24" s="32"/>
      <c r="P24" s="132"/>
      <c r="Q24" s="133"/>
      <c r="R24" s="134"/>
      <c r="S24" s="135" t="s">
        <v>95</v>
      </c>
      <c r="T24" s="52" t="s">
        <v>96</v>
      </c>
      <c r="U24" s="794" t="s">
        <v>97</v>
      </c>
      <c r="V24" s="53" t="s">
        <v>98</v>
      </c>
      <c r="W24" s="54">
        <v>1</v>
      </c>
      <c r="X24" s="131"/>
      <c r="Y24" s="131"/>
      <c r="Z24" s="131"/>
    </row>
    <row r="25" spans="2:26" ht="24.75" customHeight="1">
      <c r="B25" s="136" t="s">
        <v>164</v>
      </c>
      <c r="C25" s="69">
        <f>Q28*0.475</f>
        <v>0</v>
      </c>
      <c r="D25" s="68" t="s">
        <v>111</v>
      </c>
      <c r="E25" s="137" t="str">
        <f>IF(N17&gt;0.5,"ERRORE, RIPETERE STIMA INCIDENZA LAVORI","")</f>
        <v/>
      </c>
      <c r="P25" s="55" t="s">
        <v>99</v>
      </c>
      <c r="Q25" s="56">
        <v>0</v>
      </c>
      <c r="R25" s="134"/>
      <c r="S25" s="394" t="s">
        <v>474</v>
      </c>
      <c r="T25" s="259">
        <f>IF(T24=V24,AVERAGE(Q25:Q26)*W24,IF(T24=V25,AVERAGE(Q25:Q26)*W25,IF(T24=V26,AVERAGE(Q25:Q26)*W26,"errore o dati mancanti")))</f>
        <v>0</v>
      </c>
      <c r="U25" s="795"/>
      <c r="V25" s="53" t="s">
        <v>96</v>
      </c>
      <c r="W25" s="54">
        <v>1.3</v>
      </c>
      <c r="X25" s="131"/>
      <c r="Y25" s="131"/>
      <c r="Z25" s="131"/>
    </row>
    <row r="26" spans="2:26" ht="24.75" customHeight="1" thickBot="1">
      <c r="B26" s="832"/>
      <c r="C26" s="833"/>
      <c r="D26" s="833"/>
      <c r="E26" s="833"/>
      <c r="F26" s="833"/>
      <c r="G26" s="833"/>
      <c r="H26" s="833"/>
      <c r="I26" s="833"/>
      <c r="J26" s="833"/>
      <c r="K26" s="833"/>
      <c r="L26" s="833"/>
      <c r="M26" s="833"/>
      <c r="N26" s="833"/>
      <c r="P26" s="55" t="s">
        <v>100</v>
      </c>
      <c r="Q26" s="56">
        <v>0</v>
      </c>
      <c r="R26" s="138"/>
      <c r="S26" s="395" t="s">
        <v>475</v>
      </c>
      <c r="T26" s="139"/>
      <c r="U26" s="796"/>
      <c r="V26" s="59" t="s">
        <v>101</v>
      </c>
      <c r="W26" s="54">
        <v>1.9</v>
      </c>
      <c r="X26" s="131"/>
      <c r="Y26" s="131"/>
      <c r="Z26" s="131"/>
    </row>
    <row r="27" spans="2:26" ht="24.75" customHeight="1">
      <c r="B27" s="81" t="s">
        <v>165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140"/>
      <c r="P27" s="49"/>
      <c r="Q27" s="50"/>
      <c r="R27" s="134"/>
      <c r="S27" s="2"/>
      <c r="T27" s="2"/>
      <c r="U27" s="131"/>
      <c r="V27" s="1"/>
      <c r="W27" s="131"/>
      <c r="X27" s="131"/>
      <c r="Y27" s="131"/>
      <c r="Z27" s="131"/>
    </row>
    <row r="28" spans="2:26" ht="24.75" customHeight="1">
      <c r="B28" s="834" t="s">
        <v>166</v>
      </c>
      <c r="C28" s="835"/>
      <c r="D28" s="835"/>
      <c r="E28" s="835"/>
      <c r="F28" s="835"/>
      <c r="G28" s="835"/>
      <c r="H28" s="835"/>
      <c r="I28" s="835"/>
      <c r="N28" s="92"/>
      <c r="P28" s="62" t="s">
        <v>102</v>
      </c>
      <c r="Q28" s="63">
        <f>T32</f>
        <v>0</v>
      </c>
      <c r="R28" s="134"/>
      <c r="S28" s="797" t="s">
        <v>483</v>
      </c>
      <c r="T28" s="798"/>
      <c r="U28" s="794" t="s">
        <v>103</v>
      </c>
      <c r="V28" s="791" t="s">
        <v>499</v>
      </c>
      <c r="W28" s="792"/>
      <c r="X28" s="792"/>
      <c r="Y28" s="792"/>
      <c r="Z28" s="793"/>
    </row>
    <row r="29" spans="2:26" ht="24.75" customHeight="1">
      <c r="B29" s="88" t="s">
        <v>167</v>
      </c>
      <c r="C29" s="44"/>
      <c r="D29" s="44"/>
      <c r="E29" s="44"/>
      <c r="F29" s="44"/>
      <c r="G29" s="44"/>
      <c r="H29" s="44"/>
      <c r="I29" s="44"/>
      <c r="J29" s="44" t="str">
        <f>IF(N43&gt;25,"&gt; 25 €/mq, pertanto:", "&lt; 25 €/mq, pertanto:")</f>
        <v>&lt; 25 €/mq, pertanto:</v>
      </c>
      <c r="K29" s="44"/>
      <c r="L29" s="44"/>
      <c r="M29" s="75" t="s">
        <v>168</v>
      </c>
      <c r="N29" s="141" t="str">
        <f>IF(N43&lt;25,"25",N43)</f>
        <v>25</v>
      </c>
      <c r="P29" s="496" t="s">
        <v>358</v>
      </c>
      <c r="Q29" s="134"/>
      <c r="R29" s="134"/>
      <c r="S29" s="799"/>
      <c r="T29" s="800"/>
      <c r="U29" s="796"/>
      <c r="V29" s="64" t="s">
        <v>104</v>
      </c>
      <c r="W29" s="64" t="s">
        <v>105</v>
      </c>
      <c r="X29" s="64" t="s">
        <v>106</v>
      </c>
      <c r="Y29" s="64" t="s">
        <v>107</v>
      </c>
      <c r="Z29" s="64" t="s">
        <v>108</v>
      </c>
    </row>
    <row r="30" spans="2:26" ht="24.75" customHeight="1">
      <c r="B30" s="91" t="s">
        <v>115</v>
      </c>
      <c r="N30" s="92"/>
      <c r="P30" s="497" t="s">
        <v>359</v>
      </c>
      <c r="Q30" s="142"/>
      <c r="R30" s="134"/>
      <c r="S30" s="143" t="s">
        <v>436</v>
      </c>
      <c r="T30" s="66" t="s">
        <v>104</v>
      </c>
      <c r="U30" s="67" t="s">
        <v>104</v>
      </c>
      <c r="V30" s="54">
        <v>1</v>
      </c>
      <c r="W30" s="54">
        <v>0.95</v>
      </c>
      <c r="X30" s="54">
        <v>1.49</v>
      </c>
      <c r="Y30" s="54">
        <v>0.95</v>
      </c>
      <c r="Z30" s="54">
        <v>1.03</v>
      </c>
    </row>
    <row r="31" spans="2:26" ht="24.75" customHeight="1">
      <c r="B31" s="94" t="s">
        <v>169</v>
      </c>
      <c r="N31" s="92"/>
      <c r="P31" s="134"/>
      <c r="Q31" s="134"/>
      <c r="R31" s="134"/>
      <c r="S31" s="143" t="s">
        <v>112</v>
      </c>
      <c r="T31" s="70" t="s">
        <v>104</v>
      </c>
      <c r="U31" s="67" t="s">
        <v>105</v>
      </c>
      <c r="V31" s="54">
        <v>1.05</v>
      </c>
      <c r="W31" s="54">
        <v>1</v>
      </c>
      <c r="X31" s="54">
        <v>1.57</v>
      </c>
      <c r="Y31" s="54">
        <v>1.1399999999999999</v>
      </c>
      <c r="Z31" s="54">
        <v>1.05</v>
      </c>
    </row>
    <row r="32" spans="2:26" ht="24.75" customHeight="1">
      <c r="B32" s="94" t="s">
        <v>170</v>
      </c>
      <c r="H32" s="43"/>
      <c r="N32" s="92"/>
      <c r="P32" s="134"/>
      <c r="Q32" s="134"/>
      <c r="R32" s="134"/>
      <c r="S32" s="132"/>
      <c r="T32" s="259">
        <f>IF(AND(T30=U30,T31=V29),T25*V30,IF(AND(T30=U30,T31=W29),T25*W30,IF(AND(T30=U30,T31=X29),T25*X30,IF(AND(T30=U30,T31=Y29),T25*Y30,IF(AND(T30=U30,T31=Z29),T25*Z30,IF(AND(T30=U31,T31=V29),T25*V31,IF(AND(T30=U31,T31=W29),T25*W31,IF(AND(T30=U31,T31=X29),T25*X31,IF(AND(T30=U31,T31=Y29),T25*Y31,IF(AND(T30=U31,T31=Z29),T25*Z31,IF(AND(T30=U32,T31=V29),T25*V32,IF(AND(T30=U32,T31=W29),T25*W32,IF(AND(T30=U32,T31=X29),T25*X32,IF(AND(T30=U32,T31=Y29),T25*Y32,IF(AND(T30=U32,T31=Z29),T25*Z32,IF(AND(T30=U33,T31=V29),T25*V33,IF(AND(T30=U33,T31=W29),T25*W33,IF(AND(T30=U33,T31=X29),T25*X33,IF(AND(T30=U33,T31=Y29),T25*Y33,IF(AND(T30=U33,T31=Z29),T25*Z33,IF(AND(T30=U34,T31=V29),T25*V34,IF(AND(T30=U34,T31=W29),T25*W34,IF(AND(T30=U34,T31=X29),T25*X34,IF(AND(T30=U34,T31=Y29),T25*Y34,IF(AND(T30=U34,T31=Z29),T25*Z34,"errore o dati mancanti")))))))))))))))))))))))))</f>
        <v>0</v>
      </c>
      <c r="U32" s="67" t="s">
        <v>106</v>
      </c>
      <c r="V32" s="54">
        <v>0.67</v>
      </c>
      <c r="W32" s="54">
        <v>0.64</v>
      </c>
      <c r="X32" s="54">
        <v>1</v>
      </c>
      <c r="Y32" s="54">
        <v>0.63</v>
      </c>
      <c r="Z32" s="54">
        <v>0.69</v>
      </c>
    </row>
    <row r="33" spans="2:26" ht="24.75" customHeight="1">
      <c r="B33" s="801" t="s">
        <v>171</v>
      </c>
      <c r="C33" s="826"/>
      <c r="D33" s="826"/>
      <c r="E33" s="826"/>
      <c r="F33" s="826"/>
      <c r="G33" s="826"/>
      <c r="H33" s="826"/>
      <c r="I33" s="826"/>
      <c r="J33" s="826"/>
      <c r="K33" s="826"/>
      <c r="L33" s="826"/>
      <c r="M33" s="826"/>
      <c r="N33" s="92"/>
      <c r="P33" s="134"/>
      <c r="Q33" s="134"/>
      <c r="R33" s="134"/>
      <c r="S33" s="144"/>
      <c r="T33" s="2"/>
      <c r="U33" s="67" t="s">
        <v>107</v>
      </c>
      <c r="V33" s="54">
        <v>1.0900000000000001</v>
      </c>
      <c r="W33" s="54">
        <v>0.88</v>
      </c>
      <c r="X33" s="54">
        <v>1.61</v>
      </c>
      <c r="Y33" s="54">
        <v>1</v>
      </c>
      <c r="Z33" s="54">
        <v>1.19</v>
      </c>
    </row>
    <row r="34" spans="2:26" ht="24.75" customHeight="1">
      <c r="B34" s="88"/>
      <c r="C34" s="97" t="s">
        <v>125</v>
      </c>
      <c r="D34" s="98" t="s">
        <v>126</v>
      </c>
      <c r="E34" s="44"/>
      <c r="F34" s="75" t="s">
        <v>127</v>
      </c>
      <c r="G34" s="77">
        <f>IF(D34="SI",20,IF(D34="NO",H56))</f>
        <v>5</v>
      </c>
      <c r="H34" s="44"/>
      <c r="M34" s="145"/>
      <c r="N34" s="92"/>
      <c r="P34" s="134"/>
      <c r="Q34" s="134"/>
      <c r="R34" s="134"/>
      <c r="S34" s="146"/>
      <c r="T34" s="139"/>
      <c r="U34" s="74" t="s">
        <v>108</v>
      </c>
      <c r="V34" s="54">
        <v>0.97</v>
      </c>
      <c r="W34" s="54">
        <v>0.95</v>
      </c>
      <c r="X34" s="54">
        <v>1.45</v>
      </c>
      <c r="Y34" s="54">
        <v>0.84</v>
      </c>
      <c r="Z34" s="54">
        <v>1</v>
      </c>
    </row>
    <row r="35" spans="2:26" ht="24.75" customHeight="1">
      <c r="B35" s="88"/>
      <c r="C35" s="97"/>
      <c r="D35" s="97"/>
      <c r="E35" s="44"/>
      <c r="F35" s="97"/>
      <c r="G35" s="147"/>
      <c r="H35" s="44"/>
      <c r="M35" s="145"/>
      <c r="N35" s="92"/>
      <c r="S35" s="496" t="s">
        <v>453</v>
      </c>
    </row>
    <row r="36" spans="2:26" ht="24.75" customHeight="1">
      <c r="B36" s="494" t="s">
        <v>473</v>
      </c>
      <c r="C36" s="79"/>
      <c r="D36" s="148" t="s">
        <v>172</v>
      </c>
      <c r="E36" s="513">
        <v>0</v>
      </c>
      <c r="F36" s="250"/>
      <c r="G36" s="148" t="s">
        <v>173</v>
      </c>
      <c r="H36" s="513">
        <v>0</v>
      </c>
      <c r="I36" s="250"/>
      <c r="J36" s="149" t="s">
        <v>174</v>
      </c>
      <c r="K36" s="523">
        <f>E36+0.6*H36</f>
        <v>0</v>
      </c>
      <c r="L36" s="150" t="s">
        <v>175</v>
      </c>
      <c r="M36" s="151">
        <v>0</v>
      </c>
      <c r="N36" s="152" t="s">
        <v>126</v>
      </c>
    </row>
    <row r="37" spans="2:26" ht="24.75" customHeight="1">
      <c r="B37" s="94" t="s">
        <v>176</v>
      </c>
      <c r="E37" s="480" t="s">
        <v>470</v>
      </c>
      <c r="M37" s="151">
        <v>35</v>
      </c>
      <c r="N37" s="152" t="s">
        <v>129</v>
      </c>
    </row>
    <row r="38" spans="2:26" ht="50.1" customHeight="1">
      <c r="B38" s="788" t="s">
        <v>532</v>
      </c>
      <c r="C38" s="827"/>
      <c r="D38" s="827"/>
      <c r="E38" s="827"/>
      <c r="F38" s="827"/>
      <c r="G38" s="827"/>
      <c r="H38" s="827"/>
      <c r="I38" s="827"/>
      <c r="J38" s="827"/>
      <c r="K38" s="827"/>
      <c r="L38" s="827"/>
      <c r="M38" s="828"/>
      <c r="N38" s="393" t="s">
        <v>126</v>
      </c>
    </row>
    <row r="39" spans="2:26" ht="24.75" customHeight="1" thickBot="1">
      <c r="B39" s="153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5"/>
    </row>
    <row r="40" spans="2:26" ht="30" customHeight="1" thickBot="1">
      <c r="B40" s="106"/>
      <c r="C40" s="156" t="s">
        <v>177</v>
      </c>
      <c r="D40" s="157"/>
      <c r="E40" s="829">
        <f>IF(N38="SI",C43,IF(N38="NO",C44))</f>
        <v>0</v>
      </c>
      <c r="F40" s="829"/>
      <c r="G40" s="829"/>
      <c r="H40" s="829"/>
      <c r="I40" s="157"/>
      <c r="J40" s="157"/>
      <c r="K40" s="157"/>
      <c r="L40" s="157"/>
      <c r="M40" s="157"/>
      <c r="N40" s="158"/>
    </row>
    <row r="41" spans="2:26" s="160" customFormat="1" ht="20.100000000000001" customHeight="1">
      <c r="B41" s="4"/>
      <c r="C41" s="76"/>
      <c r="D41" s="4"/>
      <c r="E41" s="159"/>
      <c r="F41" s="159"/>
      <c r="G41" s="467"/>
      <c r="H41" s="467"/>
      <c r="I41" s="4"/>
      <c r="J41" s="4"/>
      <c r="K41" s="4"/>
      <c r="L41" s="4"/>
      <c r="M41" s="4"/>
      <c r="N41" s="204" t="s">
        <v>360</v>
      </c>
    </row>
    <row r="42" spans="2:26" s="161" customFormat="1" ht="20.100000000000001" hidden="1" customHeight="1">
      <c r="C42" s="162" t="s">
        <v>178</v>
      </c>
      <c r="N42" s="167"/>
    </row>
    <row r="43" spans="2:26" s="161" customFormat="1" ht="20.100000000000001" hidden="1" customHeight="1">
      <c r="B43" s="163" t="s">
        <v>1</v>
      </c>
      <c r="C43" s="163">
        <f>N29*K36*N19*(1-M37/100)</f>
        <v>0</v>
      </c>
      <c r="D43" s="162" t="s">
        <v>179</v>
      </c>
      <c r="M43" s="164"/>
      <c r="N43" s="165">
        <f>C25*G34/100</f>
        <v>0</v>
      </c>
    </row>
    <row r="44" spans="2:26" s="166" customFormat="1" ht="24.95" hidden="1" customHeight="1">
      <c r="B44" s="163" t="s">
        <v>1</v>
      </c>
      <c r="C44" s="163">
        <f>N29*K36*N19</f>
        <v>0</v>
      </c>
      <c r="D44" s="162" t="s">
        <v>179</v>
      </c>
      <c r="E44" s="161"/>
      <c r="F44" s="161"/>
      <c r="G44" s="161"/>
      <c r="H44" s="161"/>
      <c r="I44" s="161"/>
      <c r="J44" s="161"/>
      <c r="K44" s="161"/>
      <c r="L44" s="161"/>
      <c r="M44" s="164"/>
      <c r="N44" s="165"/>
    </row>
    <row r="45" spans="2:26" s="166" customFormat="1" ht="24.95" customHeight="1">
      <c r="B45" s="167" t="s">
        <v>180</v>
      </c>
      <c r="G45" s="390"/>
      <c r="N45" s="204" t="s">
        <v>361</v>
      </c>
    </row>
    <row r="46" spans="2:26" s="166" customFormat="1" ht="37.5" customHeight="1">
      <c r="B46" s="168" t="s">
        <v>181</v>
      </c>
      <c r="C46" s="168" t="s">
        <v>134</v>
      </c>
      <c r="D46" s="168" t="s">
        <v>52</v>
      </c>
    </row>
    <row r="47" spans="2:26" s="166" customFormat="1" ht="12.75" customHeight="1">
      <c r="B47" s="168" t="s">
        <v>135</v>
      </c>
      <c r="C47" s="168">
        <v>5</v>
      </c>
      <c r="D47" s="168" t="str">
        <f>IF(C25&lt;=500,"1","0")</f>
        <v>1</v>
      </c>
    </row>
    <row r="48" spans="2:26" s="166" customFormat="1" ht="12.75" customHeight="1">
      <c r="B48" s="168" t="s">
        <v>136</v>
      </c>
      <c r="C48" s="168">
        <v>6</v>
      </c>
      <c r="D48" s="168" t="str">
        <f>IF(AND(C25&gt;500,C25&lt;=1000),"1","0")</f>
        <v>0</v>
      </c>
    </row>
    <row r="49" spans="2:14" s="166" customFormat="1" ht="12.75" customHeight="1">
      <c r="B49" s="168" t="s">
        <v>137</v>
      </c>
      <c r="C49" s="168">
        <v>7</v>
      </c>
      <c r="D49" s="168" t="str">
        <f>IF(AND(C25&gt;1000,C25&lt;=1500),"1","0")</f>
        <v>0</v>
      </c>
    </row>
    <row r="50" spans="2:14" s="166" customFormat="1" ht="12.75" customHeight="1">
      <c r="B50" s="168" t="s">
        <v>138</v>
      </c>
      <c r="C50" s="168">
        <v>8</v>
      </c>
      <c r="D50" s="168" t="str">
        <f>IF(AND(C25&gt;1500,C25&lt;=2000),"1","0")</f>
        <v>0</v>
      </c>
    </row>
    <row r="51" spans="2:14" s="166" customFormat="1" ht="12.75" customHeight="1">
      <c r="B51" s="168" t="s">
        <v>139</v>
      </c>
      <c r="C51" s="168">
        <v>9</v>
      </c>
      <c r="D51" s="168" t="str">
        <f>IF(AND(C25&gt;2000,C25&lt;=2500),"1","0")</f>
        <v>0</v>
      </c>
    </row>
    <row r="52" spans="2:14" s="166" customFormat="1" ht="12.75" customHeight="1">
      <c r="B52" s="168" t="s">
        <v>140</v>
      </c>
      <c r="C52" s="168">
        <v>10</v>
      </c>
      <c r="D52" s="168" t="str">
        <f>IF(AND(C25&gt;2500,C25&lt;=3000),"1","0")</f>
        <v>0</v>
      </c>
    </row>
    <row r="53" spans="2:14" s="166" customFormat="1" ht="12.75" customHeight="1">
      <c r="B53" s="168" t="s">
        <v>141</v>
      </c>
      <c r="C53" s="168">
        <v>11</v>
      </c>
      <c r="D53" s="168" t="str">
        <f>IF(AND(C25&gt;3000,C25&lt;=3500),"1","0")</f>
        <v>0</v>
      </c>
    </row>
    <row r="54" spans="2:14" s="166" customFormat="1" ht="12.75" customHeight="1">
      <c r="B54" s="168" t="s">
        <v>142</v>
      </c>
      <c r="C54" s="168">
        <v>12</v>
      </c>
      <c r="D54" s="168" t="str">
        <f>IF(AND(C25&gt;3500,C25&lt;=4000),"1","0")</f>
        <v>0</v>
      </c>
    </row>
    <row r="55" spans="2:14" s="166" customFormat="1" ht="12.75" customHeight="1">
      <c r="B55" s="168" t="s">
        <v>143</v>
      </c>
      <c r="C55" s="168">
        <v>13</v>
      </c>
      <c r="D55" s="168" t="str">
        <f>IF(AND(C25&gt;4000,C25&lt;=4500),"1","0")</f>
        <v>0</v>
      </c>
    </row>
    <row r="56" spans="2:14" s="166" customFormat="1" ht="12.75" customHeight="1">
      <c r="B56" s="168" t="s">
        <v>144</v>
      </c>
      <c r="C56" s="168">
        <v>14</v>
      </c>
      <c r="D56" s="168" t="str">
        <f>IF(C25&gt;4500,"1","0")</f>
        <v>0</v>
      </c>
      <c r="G56" s="169" t="s">
        <v>127</v>
      </c>
      <c r="H56" s="169">
        <f>C47*D47+C48*D48+C49*D49+C50*D50+C51*D51+C52*D52+C53*D53+C54*D54+C55*D55+C56*D56</f>
        <v>5</v>
      </c>
    </row>
    <row r="57" spans="2:14" s="145" customFormat="1" ht="10.5" customHeight="1"/>
    <row r="58" spans="2:14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</row>
  </sheetData>
  <sheetProtection algorithmName="SHA-512" hashValue="R3jnHxm7qkrzsFuPY8B1oLUhjtH/POtbc99ymaj2QnUWe2nPl6tHOwodpn4m5J0DhpsqN76RLIKWDZYTC1Do1A==" saltValue="C9yFEDiZk/U+vxvVf44vlQ==" spinCount="100000" sheet="1" objects="1" scenarios="1" selectLockedCells="1"/>
  <mergeCells count="33">
    <mergeCell ref="C2:O2"/>
    <mergeCell ref="C3:O3"/>
    <mergeCell ref="B5:O5"/>
    <mergeCell ref="B8:C9"/>
    <mergeCell ref="D8:N8"/>
    <mergeCell ref="N11:N13"/>
    <mergeCell ref="L17:M17"/>
    <mergeCell ref="L18:M18"/>
    <mergeCell ref="B19:M19"/>
    <mergeCell ref="C23:H23"/>
    <mergeCell ref="H11:H13"/>
    <mergeCell ref="I11:I13"/>
    <mergeCell ref="J11:J13"/>
    <mergeCell ref="K11:K13"/>
    <mergeCell ref="L11:L13"/>
    <mergeCell ref="M11:M13"/>
    <mergeCell ref="C11:C13"/>
    <mergeCell ref="D11:D13"/>
    <mergeCell ref="E11:E13"/>
    <mergeCell ref="F11:F13"/>
    <mergeCell ref="G11:G13"/>
    <mergeCell ref="B33:M33"/>
    <mergeCell ref="B38:M38"/>
    <mergeCell ref="E40:H40"/>
    <mergeCell ref="S23:T23"/>
    <mergeCell ref="U23:W23"/>
    <mergeCell ref="U24:U26"/>
    <mergeCell ref="B26:N26"/>
    <mergeCell ref="B28:I28"/>
    <mergeCell ref="S28:T29"/>
    <mergeCell ref="U28:U29"/>
    <mergeCell ref="V28:Z28"/>
    <mergeCell ref="P23:Q23"/>
  </mergeCells>
  <conditionalFormatting sqref="L20:N20">
    <cfRule type="expression" dxfId="35" priority="1">
      <formula>$N$17&gt;0.5</formula>
    </cfRule>
  </conditionalFormatting>
  <conditionalFormatting sqref="Q28">
    <cfRule type="expression" dxfId="34" priority="2">
      <formula>$D$11="errore o dati mancanti"</formula>
    </cfRule>
  </conditionalFormatting>
  <conditionalFormatting sqref="T30:T31">
    <cfRule type="expression" dxfId="33" priority="3">
      <formula>#REF!&lt;&gt;"Residenziale"</formula>
    </cfRule>
  </conditionalFormatting>
  <dataValidations count="5">
    <dataValidation type="list" allowBlank="1" showInputMessage="1" showErrorMessage="1" sqref="T31">
      <formula1>$U$30:$U$34</formula1>
    </dataValidation>
    <dataValidation type="list" allowBlank="1" showInputMessage="1" showErrorMessage="1" sqref="T24">
      <formula1>$V$24:$V$26</formula1>
    </dataValidation>
    <dataValidation type="list" allowBlank="1" showInputMessage="1" showErrorMessage="1" sqref="T30">
      <formula1>$V$29:$Z$29</formula1>
    </dataValidation>
    <dataValidation type="list" allowBlank="1" showInputMessage="1" showErrorMessage="1" sqref="D10:M16">
      <formula1>$O$15:$O$16</formula1>
    </dataValidation>
    <dataValidation type="list" allowBlank="1" showInputMessage="1" showErrorMessage="1" sqref="D34">
      <formula1>$N$36:$N$37</formula1>
    </dataValidation>
  </dataValidations>
  <hyperlinks>
    <hyperlink ref="C23" r:id="rId1"/>
  </hyperlinks>
  <pageMargins left="0.7" right="0.7" top="0.75" bottom="0.75" header="0.3" footer="0.3"/>
  <pageSetup paperSize="8" scale="62" orientation="landscape" horizontalDpi="1200" verticalDpi="1200" r:id="rId2"/>
  <ignoredErrors>
    <ignoredError sqref="N15" formula="1"/>
  </ignoredError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0"/>
  <sheetViews>
    <sheetView showGridLines="0" zoomScaleNormal="100" workbookViewId="0">
      <selection activeCell="O13" sqref="O13"/>
    </sheetView>
  </sheetViews>
  <sheetFormatPr defaultColWidth="9.140625" defaultRowHeight="12.75"/>
  <cols>
    <col min="1" max="1" width="5.5703125" style="4" customWidth="1"/>
    <col min="2" max="2" width="26" style="4" customWidth="1"/>
    <col min="3" max="3" width="13.85546875" style="4" customWidth="1"/>
    <col min="4" max="4" width="7.42578125" style="4" customWidth="1"/>
    <col min="5" max="5" width="21.5703125" style="4" customWidth="1"/>
    <col min="6" max="6" width="11.42578125" style="4" customWidth="1"/>
    <col min="7" max="7" width="12.5703125" style="4" customWidth="1"/>
    <col min="8" max="9" width="9.42578125" style="4" customWidth="1"/>
    <col min="10" max="10" width="14.5703125" style="4" customWidth="1"/>
    <col min="11" max="11" width="8.42578125" style="4" customWidth="1"/>
    <col min="12" max="12" width="5.42578125" style="12" customWidth="1"/>
    <col min="13" max="13" width="8.5703125" style="4" customWidth="1"/>
    <col min="14" max="14" width="25.5703125" style="4" customWidth="1"/>
    <col min="15" max="15" width="13.42578125" style="4" customWidth="1"/>
    <col min="16" max="16" width="3.5703125" style="4" customWidth="1"/>
    <col min="17" max="17" width="25.5703125" style="4" customWidth="1"/>
    <col min="18" max="18" width="15.42578125" style="4" customWidth="1"/>
    <col min="19" max="19" width="12.5703125" style="4" customWidth="1"/>
    <col min="20" max="20" width="12.85546875" style="4" customWidth="1"/>
    <col min="21" max="27" width="10.85546875" style="4" customWidth="1"/>
    <col min="28" max="16384" width="9.140625" style="4"/>
  </cols>
  <sheetData>
    <row r="1" spans="2:26" ht="13.5" thickBot="1"/>
    <row r="2" spans="2:26" ht="35.1" customHeight="1">
      <c r="B2" s="337" t="s">
        <v>326</v>
      </c>
      <c r="C2" s="809" t="s">
        <v>371</v>
      </c>
      <c r="D2" s="810"/>
      <c r="E2" s="810"/>
      <c r="F2" s="810"/>
      <c r="G2" s="810"/>
      <c r="H2" s="810"/>
      <c r="I2" s="810"/>
      <c r="J2" s="810"/>
      <c r="K2" s="810"/>
      <c r="L2" s="810"/>
      <c r="M2" s="811"/>
    </row>
    <row r="3" spans="2:26" ht="35.1" customHeight="1" thickBot="1">
      <c r="B3" s="338" t="s">
        <v>319</v>
      </c>
      <c r="C3" s="812" t="s">
        <v>320</v>
      </c>
      <c r="D3" s="813"/>
      <c r="E3" s="813"/>
      <c r="F3" s="813"/>
      <c r="G3" s="813"/>
      <c r="H3" s="813"/>
      <c r="I3" s="813"/>
      <c r="J3" s="813"/>
      <c r="K3" s="813"/>
      <c r="L3" s="813"/>
      <c r="M3" s="814"/>
    </row>
    <row r="4" spans="2:26" ht="9.9499999999999993" customHeight="1">
      <c r="B4" s="339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</row>
    <row r="5" spans="2:26" ht="24.95" customHeight="1">
      <c r="B5" s="815" t="s">
        <v>24</v>
      </c>
      <c r="C5" s="845"/>
      <c r="D5" s="845"/>
      <c r="E5" s="845"/>
      <c r="F5" s="845"/>
      <c r="G5" s="845"/>
      <c r="H5" s="845"/>
      <c r="I5" s="845"/>
      <c r="J5" s="845"/>
      <c r="K5" s="845"/>
      <c r="L5" s="845"/>
      <c r="M5" s="846"/>
    </row>
    <row r="7" spans="2:26" ht="24.75" customHeight="1">
      <c r="B7" s="6" t="s">
        <v>182</v>
      </c>
      <c r="J7" s="32"/>
    </row>
    <row r="8" spans="2:26" ht="24.75" customHeight="1">
      <c r="B8" s="45" t="s">
        <v>428</v>
      </c>
      <c r="C8" s="807" t="s">
        <v>92</v>
      </c>
      <c r="D8" s="808"/>
      <c r="E8" s="808"/>
      <c r="F8" s="808"/>
      <c r="J8" s="32"/>
      <c r="L8" s="4"/>
      <c r="N8" s="632" t="s">
        <v>373</v>
      </c>
      <c r="O8" s="803"/>
      <c r="P8" s="44"/>
      <c r="Q8" s="830" t="s">
        <v>430</v>
      </c>
      <c r="R8" s="831"/>
      <c r="S8" s="791" t="s">
        <v>94</v>
      </c>
      <c r="T8" s="792"/>
      <c r="U8" s="793"/>
      <c r="V8" s="170"/>
      <c r="W8" s="171"/>
      <c r="X8" s="170"/>
    </row>
    <row r="9" spans="2:26" ht="24.75" customHeight="1">
      <c r="B9" s="6"/>
      <c r="C9" s="369" t="s">
        <v>336</v>
      </c>
      <c r="J9" s="32"/>
      <c r="N9" s="3"/>
      <c r="O9" s="172"/>
      <c r="P9" s="44"/>
      <c r="Q9" s="135" t="s">
        <v>95</v>
      </c>
      <c r="R9" s="173" t="s">
        <v>96</v>
      </c>
      <c r="S9" s="794" t="s">
        <v>97</v>
      </c>
      <c r="T9" s="174" t="s">
        <v>98</v>
      </c>
      <c r="U9" s="175">
        <v>1</v>
      </c>
      <c r="V9" s="170"/>
      <c r="W9" s="170"/>
      <c r="X9" s="170"/>
    </row>
    <row r="10" spans="2:26" ht="24.75" customHeight="1">
      <c r="B10" s="136" t="s">
        <v>183</v>
      </c>
      <c r="C10" s="69">
        <f>O16*0.475</f>
        <v>0</v>
      </c>
      <c r="D10" s="68" t="s">
        <v>111</v>
      </c>
      <c r="I10" s="176"/>
      <c r="J10" s="176" t="s">
        <v>126</v>
      </c>
      <c r="N10" s="854" t="s">
        <v>184</v>
      </c>
      <c r="O10" s="855"/>
      <c r="P10" s="44"/>
      <c r="Q10" s="394" t="s">
        <v>474</v>
      </c>
      <c r="R10" s="260">
        <f>IF(R9=T9,AVERAGE(O13:O14)*U9,IF(R9=T10,AVERAGE(O13:O14)*U10,IF(R9=T11,AVERAGE(O13:O14)*U11,"errore o dati mancanti")))</f>
        <v>0</v>
      </c>
      <c r="S10" s="795"/>
      <c r="T10" s="174" t="s">
        <v>96</v>
      </c>
      <c r="U10" s="175">
        <v>1.3</v>
      </c>
      <c r="V10" s="170"/>
      <c r="W10" s="170"/>
      <c r="X10" s="170"/>
    </row>
    <row r="11" spans="2:26" ht="24.75" customHeight="1">
      <c r="B11" s="80"/>
      <c r="D11" s="68"/>
      <c r="I11" s="160"/>
      <c r="J11" s="176" t="s">
        <v>129</v>
      </c>
      <c r="N11" s="856"/>
      <c r="O11" s="857"/>
      <c r="P11" s="177"/>
      <c r="Q11" s="395" t="s">
        <v>475</v>
      </c>
      <c r="R11" s="178"/>
      <c r="S11" s="796"/>
      <c r="T11" s="240" t="s">
        <v>101</v>
      </c>
      <c r="U11" s="175">
        <v>1.9</v>
      </c>
      <c r="V11" s="170"/>
      <c r="W11" s="170"/>
      <c r="X11" s="170"/>
    </row>
    <row r="12" spans="2:26" ht="24.75" customHeight="1" thickBot="1">
      <c r="B12" s="7"/>
      <c r="N12" s="49"/>
      <c r="O12" s="179"/>
      <c r="P12" s="44"/>
      <c r="Q12" s="180"/>
      <c r="R12" s="180"/>
      <c r="S12" s="170"/>
      <c r="T12" s="241"/>
      <c r="U12" s="170"/>
      <c r="V12" s="170"/>
      <c r="W12" s="170"/>
      <c r="X12" s="170"/>
    </row>
    <row r="13" spans="2:26" ht="24.75" customHeight="1">
      <c r="B13" s="81" t="s">
        <v>185</v>
      </c>
      <c r="C13" s="82"/>
      <c r="D13" s="82"/>
      <c r="E13" s="82"/>
      <c r="F13" s="82"/>
      <c r="G13" s="82"/>
      <c r="H13" s="82"/>
      <c r="I13" s="82"/>
      <c r="J13" s="82"/>
      <c r="K13" s="140"/>
      <c r="N13" s="55" t="s">
        <v>186</v>
      </c>
      <c r="O13" s="56">
        <v>0</v>
      </c>
      <c r="P13" s="44"/>
      <c r="Q13" s="632" t="s">
        <v>187</v>
      </c>
      <c r="R13" s="804"/>
      <c r="S13" s="794" t="s">
        <v>188</v>
      </c>
      <c r="T13" s="791" t="s">
        <v>189</v>
      </c>
      <c r="U13" s="792"/>
      <c r="V13" s="792"/>
      <c r="W13" s="792"/>
      <c r="X13" s="792"/>
      <c r="Y13" s="859"/>
      <c r="Z13" s="860"/>
    </row>
    <row r="14" spans="2:26" ht="24.75" customHeight="1">
      <c r="B14" s="834" t="s">
        <v>190</v>
      </c>
      <c r="C14" s="835"/>
      <c r="D14" s="835"/>
      <c r="E14" s="835"/>
      <c r="F14" s="835"/>
      <c r="G14" s="835"/>
      <c r="H14" s="835"/>
      <c r="I14" s="835"/>
      <c r="K14" s="92"/>
      <c r="N14" s="55" t="s">
        <v>191</v>
      </c>
      <c r="O14" s="56">
        <v>0</v>
      </c>
      <c r="P14" s="44"/>
      <c r="Q14" s="143" t="s">
        <v>192</v>
      </c>
      <c r="R14" s="181" t="s">
        <v>193</v>
      </c>
      <c r="S14" s="795"/>
      <c r="T14" s="242" t="s">
        <v>194</v>
      </c>
      <c r="U14" s="242" t="s">
        <v>193</v>
      </c>
      <c r="V14" s="242" t="s">
        <v>195</v>
      </c>
      <c r="W14" s="242" t="s">
        <v>196</v>
      </c>
      <c r="X14" s="242" t="s">
        <v>432</v>
      </c>
      <c r="Y14" s="242" t="s">
        <v>433</v>
      </c>
      <c r="Z14" s="242" t="s">
        <v>434</v>
      </c>
    </row>
    <row r="15" spans="2:26" ht="24.75" customHeight="1">
      <c r="B15" s="91" t="s">
        <v>115</v>
      </c>
      <c r="E15" s="495" t="s">
        <v>470</v>
      </c>
      <c r="K15" s="92"/>
      <c r="N15" s="55"/>
      <c r="O15" s="50"/>
      <c r="P15" s="44"/>
      <c r="Q15" s="182" t="s">
        <v>197</v>
      </c>
      <c r="R15" s="181" t="s">
        <v>193</v>
      </c>
      <c r="S15" s="858"/>
      <c r="T15" s="175">
        <v>1</v>
      </c>
      <c r="U15" s="175">
        <v>0.81</v>
      </c>
      <c r="V15" s="175">
        <v>1.52</v>
      </c>
      <c r="W15" s="175">
        <v>0.85</v>
      </c>
      <c r="X15" s="175">
        <v>0.33</v>
      </c>
      <c r="Y15" s="175">
        <v>0.53</v>
      </c>
      <c r="Z15" s="175">
        <v>0.37</v>
      </c>
    </row>
    <row r="16" spans="2:26" ht="24.75" customHeight="1">
      <c r="B16" s="94" t="s">
        <v>169</v>
      </c>
      <c r="K16" s="92"/>
      <c r="N16" s="62" t="s">
        <v>102</v>
      </c>
      <c r="O16" s="183">
        <f>R16</f>
        <v>0</v>
      </c>
      <c r="P16" s="44"/>
      <c r="Q16" s="46"/>
      <c r="R16" s="260">
        <f>IF(AND(R14=U14,R15=U14),R10*T15,IF(AND(R14=V14,R15=V14),R10*T15,IF(AND(R14=W14,R15=W14),R10*T15,IF(AND(R14=X14,R15=X14),R10*T15,IF(AND(R14=Y14,R15=Y14),R10*T15,IF(AND(R14=Z14,R15=Z14),R10*T15,IF(AND(R14=T14,R15=U14),R10*U15,IF(AND(R14=T14,R15=V14),R10*V15,IF(AND(R14=T14,R15=W14),R10*W15,IF(AND(R14=T14,R15=X14),R10*X15,IF(AND(R14=T14,R15=Y14),R10*Y15,IF(AND(R14=T14,R15=Z14),R10*Z15,"errore/dati mancanti"))))))))))))</f>
        <v>0</v>
      </c>
    </row>
    <row r="17" spans="2:32" ht="24.75" customHeight="1">
      <c r="B17" s="493" t="s">
        <v>468</v>
      </c>
      <c r="C17" s="79"/>
      <c r="D17" s="97" t="s">
        <v>172</v>
      </c>
      <c r="E17" s="513">
        <v>0</v>
      </c>
      <c r="F17" s="97" t="s">
        <v>173</v>
      </c>
      <c r="G17" s="513">
        <v>0</v>
      </c>
      <c r="H17" s="250"/>
      <c r="I17" s="149" t="s">
        <v>198</v>
      </c>
      <c r="J17" s="184">
        <f>E17+0.6*G17</f>
        <v>0</v>
      </c>
      <c r="K17" s="92"/>
      <c r="L17" s="468"/>
      <c r="M17" s="12"/>
      <c r="N17" s="496" t="s">
        <v>358</v>
      </c>
      <c r="O17" s="44"/>
      <c r="P17" s="44"/>
      <c r="Q17" s="44"/>
    </row>
    <row r="18" spans="2:32" ht="24.75" customHeight="1">
      <c r="B18" s="94"/>
      <c r="C18" s="79"/>
      <c r="D18" s="97"/>
      <c r="E18" s="250"/>
      <c r="F18" s="97"/>
      <c r="G18" s="250"/>
      <c r="H18" s="75"/>
      <c r="I18" s="186"/>
      <c r="K18" s="92"/>
      <c r="N18" s="497" t="s">
        <v>359</v>
      </c>
      <c r="O18" s="44"/>
      <c r="P18" s="44"/>
    </row>
    <row r="19" spans="2:32" ht="24.75" customHeight="1">
      <c r="B19" s="848" t="s">
        <v>199</v>
      </c>
      <c r="C19" s="827"/>
      <c r="D19" s="827"/>
      <c r="E19" s="827"/>
      <c r="F19" s="827"/>
      <c r="G19" s="827"/>
      <c r="H19" s="827"/>
      <c r="I19" s="187">
        <f>HLOOKUP(K19,B32:R33,2,0)</f>
        <v>7</v>
      </c>
      <c r="J19" s="188" t="s">
        <v>200</v>
      </c>
      <c r="K19" s="189" t="s">
        <v>204</v>
      </c>
      <c r="N19" s="44"/>
      <c r="O19" s="504" t="s">
        <v>516</v>
      </c>
    </row>
    <row r="20" spans="2:32" ht="9.9499999999999993" customHeight="1" thickBot="1">
      <c r="B20" s="190"/>
      <c r="C20" s="191"/>
      <c r="D20" s="191"/>
      <c r="E20" s="191"/>
      <c r="F20" s="191"/>
      <c r="G20" s="191"/>
      <c r="H20" s="191"/>
      <c r="I20" s="97"/>
      <c r="J20" s="97"/>
      <c r="K20" s="185"/>
      <c r="N20" s="44"/>
      <c r="O20" s="44"/>
    </row>
    <row r="21" spans="2:32" ht="50.1" customHeight="1" thickBot="1">
      <c r="B21" s="788" t="s">
        <v>532</v>
      </c>
      <c r="C21" s="849"/>
      <c r="D21" s="849"/>
      <c r="E21" s="849"/>
      <c r="F21" s="849"/>
      <c r="G21" s="849"/>
      <c r="H21" s="849"/>
      <c r="I21" s="850"/>
      <c r="J21" s="851"/>
      <c r="K21" s="518" t="s">
        <v>126</v>
      </c>
      <c r="N21" s="44"/>
      <c r="O21" s="505" t="s">
        <v>486</v>
      </c>
      <c r="P21" s="506" t="s">
        <v>1</v>
      </c>
      <c r="Q21" s="507" t="s">
        <v>487</v>
      </c>
      <c r="R21" s="508" t="e">
        <f>(Q22*Q23*Q24*1000)/Q25</f>
        <v>#DIV/0!</v>
      </c>
      <c r="S21" s="509"/>
      <c r="T21" s="522" t="e">
        <f>R21/0.475</f>
        <v>#DIV/0!</v>
      </c>
      <c r="U21" s="852" t="s">
        <v>488</v>
      </c>
      <c r="V21" s="853"/>
      <c r="W21" s="853"/>
      <c r="X21" s="853"/>
      <c r="Y21" s="853"/>
      <c r="Z21" s="853"/>
    </row>
    <row r="22" spans="2:32" ht="24.75" customHeight="1" thickBot="1">
      <c r="B22" s="153"/>
      <c r="C22" s="154"/>
      <c r="D22" s="154"/>
      <c r="E22" s="154"/>
      <c r="F22" s="154"/>
      <c r="G22" s="154"/>
      <c r="H22" s="154"/>
      <c r="I22" s="104"/>
      <c r="J22" s="192">
        <v>0</v>
      </c>
      <c r="K22" s="193">
        <v>35</v>
      </c>
      <c r="N22" s="44"/>
      <c r="O22" s="170" t="s">
        <v>406</v>
      </c>
      <c r="P22" s="170" t="s">
        <v>1</v>
      </c>
      <c r="Q22" s="510">
        <v>0</v>
      </c>
      <c r="R22" s="511" t="s">
        <v>489</v>
      </c>
    </row>
    <row r="23" spans="2:32" ht="30" customHeight="1" thickBot="1">
      <c r="B23" s="106"/>
      <c r="C23" s="157"/>
      <c r="D23" s="107" t="s">
        <v>202</v>
      </c>
      <c r="E23" s="224">
        <f>IF(K21="SI",E30,IF(K21="NO",E31))</f>
        <v>0</v>
      </c>
      <c r="F23" s="108"/>
      <c r="G23" s="157"/>
      <c r="H23" s="157"/>
      <c r="I23" s="157"/>
      <c r="J23" s="157"/>
      <c r="K23" s="158"/>
      <c r="O23" s="170" t="s">
        <v>490</v>
      </c>
      <c r="P23" s="170" t="s">
        <v>1</v>
      </c>
      <c r="Q23" s="531">
        <v>0.40039999999999998</v>
      </c>
      <c r="R23" s="511" t="s">
        <v>491</v>
      </c>
      <c r="X23" s="512" t="s">
        <v>492</v>
      </c>
    </row>
    <row r="24" spans="2:32" s="12" customFormat="1" ht="24.75" customHeight="1">
      <c r="K24" s="204" t="s">
        <v>360</v>
      </c>
      <c r="N24" s="194"/>
      <c r="O24" s="170" t="s">
        <v>493</v>
      </c>
      <c r="P24" s="170" t="s">
        <v>1</v>
      </c>
      <c r="Q24" s="532">
        <v>95.21</v>
      </c>
      <c r="R24" s="511" t="s">
        <v>514</v>
      </c>
      <c r="S24" s="4"/>
      <c r="T24" s="4"/>
      <c r="U24" s="4"/>
      <c r="V24" s="4"/>
      <c r="X24" s="514" t="s">
        <v>494</v>
      </c>
      <c r="Y24" s="4"/>
      <c r="Z24" s="4"/>
      <c r="AA24" s="4"/>
      <c r="AB24" s="4"/>
      <c r="AC24" s="4"/>
      <c r="AD24" s="4"/>
      <c r="AE24" s="4"/>
      <c r="AF24" s="4"/>
    </row>
    <row r="25" spans="2:32" s="12" customFormat="1" ht="24.75" customHeight="1">
      <c r="K25" s="204" t="s">
        <v>361</v>
      </c>
      <c r="O25" s="170" t="s">
        <v>495</v>
      </c>
      <c r="P25" s="170" t="s">
        <v>1</v>
      </c>
      <c r="Q25" s="513">
        <v>0</v>
      </c>
      <c r="R25" s="511" t="s">
        <v>496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2:32" ht="24.75" customHeight="1">
      <c r="L26" s="198"/>
      <c r="M26" s="198"/>
      <c r="Q26" s="515" t="s">
        <v>497</v>
      </c>
      <c r="R26" s="516" t="s">
        <v>525</v>
      </c>
    </row>
    <row r="27" spans="2:32" ht="24.75" customHeight="1">
      <c r="L27" s="4"/>
      <c r="R27" s="516" t="s">
        <v>515</v>
      </c>
    </row>
    <row r="28" spans="2:32" ht="24.75" customHeight="1">
      <c r="L28" s="4"/>
    </row>
    <row r="29" spans="2:32" ht="20.100000000000001" customHeight="1"/>
    <row r="30" spans="2:32" ht="20.100000000000001" hidden="1" customHeight="1">
      <c r="B30" s="113"/>
      <c r="C30" s="113"/>
      <c r="D30" s="114" t="s">
        <v>203</v>
      </c>
      <c r="E30" s="114">
        <f>C10*J17*I19/100*(1-K22/100)</f>
        <v>0</v>
      </c>
      <c r="F30" s="116" t="s">
        <v>179</v>
      </c>
    </row>
    <row r="31" spans="2:32" ht="20.100000000000001" hidden="1" customHeight="1">
      <c r="B31" s="113"/>
      <c r="C31" s="113"/>
      <c r="D31" s="114" t="s">
        <v>203</v>
      </c>
      <c r="E31" s="114">
        <f>C10*J17*I19/100*(1-J22/100)</f>
        <v>0</v>
      </c>
      <c r="F31" s="116" t="s">
        <v>179</v>
      </c>
    </row>
    <row r="32" spans="2:32" ht="20.100000000000001" hidden="1" customHeight="1">
      <c r="B32" s="195" t="s">
        <v>204</v>
      </c>
      <c r="C32" s="195" t="s">
        <v>205</v>
      </c>
      <c r="D32" s="195" t="s">
        <v>201</v>
      </c>
      <c r="E32" s="195" t="s">
        <v>206</v>
      </c>
      <c r="F32" s="195" t="s">
        <v>207</v>
      </c>
      <c r="G32" s="195" t="s">
        <v>208</v>
      </c>
      <c r="H32" s="195" t="s">
        <v>209</v>
      </c>
      <c r="I32" s="195" t="s">
        <v>210</v>
      </c>
      <c r="J32" s="196" t="s">
        <v>211</v>
      </c>
      <c r="K32" s="196" t="s">
        <v>212</v>
      </c>
      <c r="L32" s="196" t="s">
        <v>213</v>
      </c>
      <c r="M32" s="196" t="s">
        <v>214</v>
      </c>
      <c r="N32" s="474" t="s">
        <v>215</v>
      </c>
      <c r="O32" s="196" t="s">
        <v>216</v>
      </c>
      <c r="P32" s="196" t="s">
        <v>217</v>
      </c>
      <c r="Q32" s="196" t="s">
        <v>437</v>
      </c>
      <c r="R32" s="196" t="s">
        <v>218</v>
      </c>
    </row>
    <row r="33" spans="2:18" ht="20.100000000000001" hidden="1" customHeight="1">
      <c r="B33" s="197">
        <v>7</v>
      </c>
      <c r="C33" s="197">
        <v>7</v>
      </c>
      <c r="D33" s="197">
        <v>7</v>
      </c>
      <c r="E33" s="197">
        <v>7</v>
      </c>
      <c r="F33" s="197">
        <v>7</v>
      </c>
      <c r="G33" s="197">
        <v>10</v>
      </c>
      <c r="H33" s="197">
        <v>10</v>
      </c>
      <c r="I33" s="197">
        <v>10</v>
      </c>
      <c r="J33" s="197">
        <v>7</v>
      </c>
      <c r="K33" s="197">
        <v>7</v>
      </c>
      <c r="L33" s="197">
        <v>7</v>
      </c>
      <c r="M33" s="197">
        <v>7</v>
      </c>
      <c r="N33" s="475">
        <v>7</v>
      </c>
      <c r="O33" s="197">
        <v>7</v>
      </c>
      <c r="P33" s="197">
        <v>7</v>
      </c>
      <c r="Q33" s="197">
        <v>7</v>
      </c>
      <c r="R33" s="197">
        <v>7</v>
      </c>
    </row>
    <row r="34" spans="2:18" ht="24.75" customHeight="1">
      <c r="L34" s="4"/>
    </row>
    <row r="35" spans="2:18" ht="24.75" customHeight="1"/>
    <row r="36" spans="2:18" ht="24.75" customHeight="1"/>
    <row r="37" spans="2:18" ht="24.75" customHeight="1"/>
    <row r="38" spans="2:18" ht="24.75" customHeight="1"/>
    <row r="39" spans="2:18" ht="24.75" customHeight="1"/>
    <row r="40" spans="2:18" ht="24.75" customHeight="1"/>
    <row r="41" spans="2:18" ht="24.75" customHeight="1"/>
    <row r="42" spans="2:18" ht="24.75" customHeight="1"/>
    <row r="43" spans="2:18" ht="24.75" customHeight="1"/>
    <row r="44" spans="2:18" ht="24.75" customHeight="1"/>
    <row r="45" spans="2:18" ht="24.75" customHeight="1"/>
    <row r="46" spans="2:18" ht="24.75" customHeight="1"/>
    <row r="47" spans="2:18" ht="24.75" customHeight="1"/>
    <row r="48" spans="2:18" ht="24.75" customHeight="1"/>
    <row r="49" spans="12:12" ht="24.75" customHeight="1"/>
    <row r="50" spans="12:12" ht="24.75" customHeight="1">
      <c r="L50" s="4"/>
    </row>
  </sheetData>
  <sheetProtection algorithmName="SHA-512" hashValue="qPddGRtQn3QhmuuJgd7kW94wfcUwtiwMBA7/JNChLeTIwZgRkpzWMikxm3yX5p16SvUduv7Jb1Iqt2x0DN1dzA==" saltValue="Oao8/0DwClPwaaJw9ygeig==" spinCount="100000" sheet="1" objects="1" scenarios="1" selectLockedCells="1"/>
  <mergeCells count="16">
    <mergeCell ref="C2:M2"/>
    <mergeCell ref="C3:M3"/>
    <mergeCell ref="B5:M5"/>
    <mergeCell ref="C8:F8"/>
    <mergeCell ref="N8:O8"/>
    <mergeCell ref="B14:I14"/>
    <mergeCell ref="B19:H19"/>
    <mergeCell ref="B21:J21"/>
    <mergeCell ref="U21:Z21"/>
    <mergeCell ref="S8:U8"/>
    <mergeCell ref="S9:S11"/>
    <mergeCell ref="N10:O11"/>
    <mergeCell ref="Q13:R13"/>
    <mergeCell ref="S13:S15"/>
    <mergeCell ref="T13:Z13"/>
    <mergeCell ref="Q8:R8"/>
  </mergeCells>
  <conditionalFormatting sqref="O16">
    <cfRule type="expression" dxfId="32" priority="5">
      <formula>#REF!="errore o dati mancanti"</formula>
    </cfRule>
  </conditionalFormatting>
  <conditionalFormatting sqref="R10">
    <cfRule type="expression" dxfId="31" priority="3">
      <formula>#REF!&lt;&gt;"errore o dati mancanti"</formula>
    </cfRule>
    <cfRule type="expression" dxfId="30" priority="4">
      <formula>#REF!="errore o dati mancanti"</formula>
    </cfRule>
  </conditionalFormatting>
  <conditionalFormatting sqref="R16">
    <cfRule type="expression" dxfId="29" priority="1">
      <formula>#REF!&lt;&gt;"errore o dati mancanti"</formula>
    </cfRule>
    <cfRule type="expression" dxfId="28" priority="2">
      <formula>#REF!="errore o dati mancanti"</formula>
    </cfRule>
  </conditionalFormatting>
  <dataValidations count="4">
    <dataValidation type="list" allowBlank="1" showInputMessage="1" showErrorMessage="1" sqref="K19">
      <formula1>$B$32:$R$32</formula1>
    </dataValidation>
    <dataValidation type="list" allowBlank="1" showInputMessage="1" showErrorMessage="1" sqref="R15">
      <formula1>$U$14:$Z$14</formula1>
    </dataValidation>
    <dataValidation type="list" allowBlank="1" showInputMessage="1" showErrorMessage="1" sqref="R14">
      <formula1>$T$14:$Z$14</formula1>
    </dataValidation>
    <dataValidation type="list" allowBlank="1" showInputMessage="1" showErrorMessage="1" sqref="R9">
      <formula1>$T$9:$T$11</formula1>
    </dataValidation>
  </dataValidations>
  <hyperlinks>
    <hyperlink ref="C8" r:id="rId1"/>
    <hyperlink ref="X24" r:id="rId2"/>
    <hyperlink ref="X23" r:id="rId3" display="https://statistica.regione.emilia-romagna.it/turismo/dati-preliminari"/>
  </hyperlinks>
  <pageMargins left="0.7" right="0.7" top="0.75" bottom="0.75" header="0.3" footer="0.3"/>
  <pageSetup paperSize="8" scale="56" orientation="landscape" horizontalDpi="1200" verticalDpi="120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0"/>
  <sheetViews>
    <sheetView showGridLines="0" zoomScaleNormal="100" workbookViewId="0">
      <selection activeCell="D10" sqref="D10"/>
    </sheetView>
  </sheetViews>
  <sheetFormatPr defaultColWidth="9.140625" defaultRowHeight="15"/>
  <cols>
    <col min="1" max="1" width="5.5703125" customWidth="1"/>
    <col min="2" max="2" width="25.42578125" customWidth="1"/>
    <col min="3" max="3" width="13.85546875" customWidth="1"/>
    <col min="4" max="4" width="7.42578125" customWidth="1"/>
    <col min="5" max="5" width="12.5703125" customWidth="1"/>
    <col min="6" max="7" width="7.42578125" customWidth="1"/>
    <col min="8" max="8" width="12.5703125" customWidth="1"/>
    <col min="9" max="9" width="7.42578125" customWidth="1"/>
    <col min="10" max="10" width="8.5703125" customWidth="1"/>
    <col min="11" max="11" width="12.5703125" customWidth="1"/>
    <col min="12" max="13" width="7.42578125" customWidth="1"/>
    <col min="14" max="14" width="9.42578125" customWidth="1"/>
    <col min="15" max="15" width="8.5703125" customWidth="1"/>
    <col min="16" max="16" width="25.5703125" customWidth="1"/>
    <col min="17" max="17" width="14" customWidth="1"/>
    <col min="18" max="18" width="3.5703125" customWidth="1"/>
    <col min="19" max="19" width="25.5703125" customWidth="1"/>
    <col min="20" max="20" width="15.5703125" customWidth="1"/>
    <col min="21" max="28" width="12.5703125" customWidth="1"/>
  </cols>
  <sheetData>
    <row r="1" spans="2:26" ht="15.75" thickBo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2:26" s="4" customFormat="1" ht="35.1" customHeight="1">
      <c r="B2" s="337" t="s">
        <v>332</v>
      </c>
      <c r="C2" s="809" t="s">
        <v>371</v>
      </c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  <c r="O2" s="811"/>
    </row>
    <row r="3" spans="2:26" s="4" customFormat="1" ht="35.1" customHeight="1" thickBot="1">
      <c r="B3" s="338" t="s">
        <v>319</v>
      </c>
      <c r="C3" s="869" t="s">
        <v>530</v>
      </c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4"/>
    </row>
    <row r="4" spans="2:26" s="4" customFormat="1" ht="9.9499999999999993" customHeight="1">
      <c r="B4" s="339"/>
      <c r="C4" s="342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</row>
    <row r="5" spans="2:26" s="4" customFormat="1" ht="24.95" customHeight="1">
      <c r="B5" s="815" t="s">
        <v>24</v>
      </c>
      <c r="C5" s="845"/>
      <c r="D5" s="845"/>
      <c r="E5" s="845"/>
      <c r="F5" s="845"/>
      <c r="G5" s="845"/>
      <c r="H5" s="845"/>
      <c r="I5" s="845"/>
      <c r="J5" s="845"/>
      <c r="K5" s="845"/>
      <c r="L5" s="845"/>
      <c r="M5" s="845"/>
      <c r="N5" s="845"/>
      <c r="O5" s="846"/>
    </row>
    <row r="6" spans="2:26" ht="24.95" customHeight="1">
      <c r="B6" s="6" t="s">
        <v>148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 ht="24.95" customHeight="1">
      <c r="B7" s="7" t="s">
        <v>366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 s="9" customFormat="1" ht="24.95" customHeight="1">
      <c r="B8" s="847" t="s">
        <v>149</v>
      </c>
      <c r="C8" s="847"/>
      <c r="D8" s="847" t="s">
        <v>150</v>
      </c>
      <c r="E8" s="847"/>
      <c r="F8" s="847"/>
      <c r="G8" s="847"/>
      <c r="H8" s="847"/>
      <c r="I8" s="847"/>
      <c r="J8" s="847"/>
      <c r="K8" s="847"/>
      <c r="L8" s="847"/>
      <c r="M8" s="847"/>
      <c r="N8" s="847"/>
      <c r="P8" s="137" t="s">
        <v>611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 s="9" customFormat="1" ht="24.95" customHeight="1">
      <c r="B9" s="581"/>
      <c r="C9" s="581"/>
      <c r="D9" s="121">
        <v>10</v>
      </c>
      <c r="E9" s="121">
        <v>20</v>
      </c>
      <c r="F9" s="121">
        <v>30</v>
      </c>
      <c r="G9" s="121">
        <v>40</v>
      </c>
      <c r="H9" s="121">
        <v>50</v>
      </c>
      <c r="I9" s="121">
        <v>60</v>
      </c>
      <c r="J9" s="121">
        <v>70</v>
      </c>
      <c r="K9" s="121">
        <v>80</v>
      </c>
      <c r="L9" s="121">
        <v>90</v>
      </c>
      <c r="M9" s="121">
        <v>100</v>
      </c>
      <c r="N9" s="464" t="s">
        <v>363</v>
      </c>
      <c r="P9" s="137" t="s">
        <v>476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 s="12" customFormat="1" ht="15" customHeight="1">
      <c r="B10" s="122" t="s">
        <v>151</v>
      </c>
      <c r="C10" s="465">
        <v>0.05</v>
      </c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464">
        <f>0.05*D10*0.1+0.05*E10*0.2+0.05*F10*0.3+0.05*G10*0.4+0.05*H10*0.5+0.05*I10*0.6+0.05*J10*0.7+0.05*K10*0.8+0.05*L10*0.9+0.05*M10</f>
        <v>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6" s="9" customFormat="1" ht="15" customHeight="1">
      <c r="B11" s="122" t="s">
        <v>152</v>
      </c>
      <c r="C11" s="844">
        <v>0.2</v>
      </c>
      <c r="D11" s="841"/>
      <c r="E11" s="841"/>
      <c r="F11" s="841"/>
      <c r="G11" s="841"/>
      <c r="H11" s="841"/>
      <c r="I11" s="841"/>
      <c r="J11" s="841"/>
      <c r="K11" s="841"/>
      <c r="L11" s="841"/>
      <c r="M11" s="841"/>
      <c r="N11" s="836">
        <f>0.2*D11*0.1+0.2*E11*0.2+0.2*F11*0.3+0.2*G11*0.4+0.2*H11*0.5+0.2*I11*0.6+0.2*J11*0.7+0.2*K11*0.8+0.2*L11*0.9+0.2*M11</f>
        <v>0</v>
      </c>
      <c r="P11" s="137" t="s">
        <v>612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6" s="9" customFormat="1" ht="15" customHeight="1">
      <c r="B12" s="122" t="s">
        <v>153</v>
      </c>
      <c r="C12" s="844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3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 s="9" customFormat="1" ht="15" customHeight="1">
      <c r="B13" s="122" t="s">
        <v>154</v>
      </c>
      <c r="C13" s="844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3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 s="9" customFormat="1" ht="15" customHeight="1">
      <c r="B14" s="122" t="s">
        <v>155</v>
      </c>
      <c r="C14" s="465">
        <v>0.1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464">
        <f>0.1*D14*0.1+0.1*E14*0.2+0.1*F14*0.3+0.1*G14*0.4+0.1*H14*0.5+0.1*I14*0.6+0.1*J14*0.7+0.1*K14*0.8+0.1*L14*0.9+0.1*M14</f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 s="9" customFormat="1" ht="15" customHeight="1">
      <c r="B15" s="122" t="s">
        <v>156</v>
      </c>
      <c r="C15" s="465">
        <v>0.05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464">
        <f>0.05*D15*0.1+0.05*E15*0.2+0.05*F15*0.3+0.05*G15*0.4+0.05*H15*0.5+0.05*I15*0.6+0.05*J15*0.7+0.05*K15*0.8+0.05*L15*0.9+0.05*M15</f>
        <v>0</v>
      </c>
      <c r="O15" s="12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6" s="9" customFormat="1" ht="15" customHeight="1">
      <c r="B16" s="122" t="s">
        <v>157</v>
      </c>
      <c r="C16" s="465">
        <v>0.1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464">
        <f>0.1*D16*0.1+0.1*E16*0.2+0.1*F16*0.3+0.1*G16*0.4+0.1*H16*0.5+0.1*I16*0.6+0.1*J16*0.7+0.1*K16*0.8+0.1*L16*0.9+0.1*M16</f>
        <v>0</v>
      </c>
      <c r="O16" s="124">
        <v>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8" s="127" customFormat="1" ht="15" customHeight="1">
      <c r="B17" s="199" t="s">
        <v>158</v>
      </c>
      <c r="C17" s="200"/>
      <c r="D17" s="200"/>
      <c r="E17" s="200"/>
      <c r="F17" s="200"/>
      <c r="G17" s="200"/>
      <c r="H17" s="200"/>
      <c r="I17" s="200"/>
      <c r="J17" s="200"/>
      <c r="K17" s="200"/>
      <c r="L17" s="865" t="s">
        <v>159</v>
      </c>
      <c r="M17" s="866"/>
      <c r="N17" s="463">
        <f>SUM(N10:N16)</f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8" s="127" customFormat="1" ht="15" customHeight="1">
      <c r="B18" s="199" t="s">
        <v>160</v>
      </c>
      <c r="C18" s="200"/>
      <c r="D18" s="200"/>
      <c r="E18" s="200"/>
      <c r="F18" s="200"/>
      <c r="G18" s="200"/>
      <c r="H18" s="200"/>
      <c r="I18" s="200"/>
      <c r="J18" s="200"/>
      <c r="K18" s="200"/>
      <c r="L18" s="865" t="s">
        <v>161</v>
      </c>
      <c r="M18" s="866"/>
      <c r="N18" s="463">
        <f>N17</f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8" s="9" customFormat="1" ht="15" customHeight="1">
      <c r="B19" s="839" t="s">
        <v>162</v>
      </c>
      <c r="C19" s="839"/>
      <c r="D19" s="839"/>
      <c r="E19" s="839"/>
      <c r="F19" s="839"/>
      <c r="G19" s="839"/>
      <c r="H19" s="839"/>
      <c r="I19" s="839"/>
      <c r="J19" s="839"/>
      <c r="K19" s="839"/>
      <c r="L19" s="839"/>
      <c r="M19" s="839"/>
      <c r="N19" s="463">
        <f>N17+N18</f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8" s="9" customFormat="1" ht="15" customHeight="1">
      <c r="B20" s="357"/>
      <c r="K20" s="128"/>
      <c r="L20" s="130"/>
      <c r="M20" s="130"/>
      <c r="N20" s="130" t="str">
        <f>IF(N17&lt;=0.5,"max 50%VERIFICATO","max 50 % NON VERIFICATO")</f>
        <v>max 50%VERIFICATO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8" s="9" customFormat="1" ht="15" customHeight="1">
      <c r="B21" s="357"/>
      <c r="K21" s="128"/>
      <c r="L21" s="128"/>
      <c r="M21" s="128"/>
      <c r="N21" s="128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8" ht="24.75" customHeight="1">
      <c r="B22" s="6" t="s">
        <v>163</v>
      </c>
      <c r="C22" s="4"/>
      <c r="D22" s="4"/>
      <c r="E22" s="4"/>
      <c r="F22" s="4"/>
      <c r="G22" s="4"/>
      <c r="H22" s="4"/>
      <c r="I22" s="4"/>
      <c r="J22" s="4"/>
      <c r="K22" s="4"/>
      <c r="L22" s="32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24.75" customHeight="1">
      <c r="B23" s="45" t="s">
        <v>428</v>
      </c>
      <c r="C23" s="867" t="s">
        <v>92</v>
      </c>
      <c r="D23" s="868"/>
      <c r="E23" s="868"/>
      <c r="F23" s="868"/>
      <c r="G23" s="868"/>
      <c r="H23" s="4"/>
      <c r="I23" s="4"/>
      <c r="J23" s="32"/>
      <c r="K23" s="4"/>
      <c r="L23" s="4"/>
      <c r="M23" s="4"/>
      <c r="N23" s="170"/>
      <c r="O23" s="201"/>
      <c r="P23" s="632" t="s">
        <v>373</v>
      </c>
      <c r="Q23" s="803"/>
      <c r="R23" s="44"/>
      <c r="S23" s="830" t="s">
        <v>430</v>
      </c>
      <c r="T23" s="831"/>
      <c r="U23" s="791" t="s">
        <v>94</v>
      </c>
      <c r="V23" s="792"/>
      <c r="W23" s="793"/>
      <c r="X23" s="170"/>
      <c r="Y23" s="201"/>
      <c r="Z23" s="170"/>
      <c r="AA23" s="4"/>
      <c r="AB23" s="4"/>
    </row>
    <row r="24" spans="2:28" ht="24.75" customHeight="1">
      <c r="B24" s="6"/>
      <c r="C24" s="369" t="s">
        <v>336</v>
      </c>
      <c r="D24" s="4"/>
      <c r="E24" s="4"/>
      <c r="F24" s="4"/>
      <c r="G24" s="4"/>
      <c r="H24" s="4"/>
      <c r="I24" s="4"/>
      <c r="J24" s="4"/>
      <c r="K24" s="4"/>
      <c r="L24" s="32"/>
      <c r="M24" s="4"/>
      <c r="N24" s="4"/>
      <c r="O24" s="4"/>
      <c r="P24" s="3"/>
      <c r="Q24" s="172"/>
      <c r="R24" s="44"/>
      <c r="S24" s="135" t="s">
        <v>95</v>
      </c>
      <c r="T24" s="173" t="s">
        <v>96</v>
      </c>
      <c r="U24" s="794" t="s">
        <v>97</v>
      </c>
      <c r="V24" s="53" t="s">
        <v>98</v>
      </c>
      <c r="W24" s="54">
        <v>1</v>
      </c>
      <c r="X24" s="170"/>
      <c r="Y24" s="170"/>
      <c r="Z24" s="170"/>
      <c r="AA24" s="4"/>
      <c r="AB24" s="4"/>
    </row>
    <row r="25" spans="2:28" ht="24.75" customHeight="1">
      <c r="B25" s="136" t="s">
        <v>220</v>
      </c>
      <c r="C25" s="69">
        <f>Q31*0.475</f>
        <v>0</v>
      </c>
      <c r="D25" s="68" t="s">
        <v>111</v>
      </c>
      <c r="E25" s="137" t="str">
        <f>IF(N17&gt;0.5,"ERRORE, RIPETERE STIMA INCIDENZA LAVORI","")</f>
        <v/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854" t="s">
        <v>221</v>
      </c>
      <c r="Q25" s="855"/>
      <c r="R25" s="44"/>
      <c r="S25" s="394" t="s">
        <v>474</v>
      </c>
      <c r="T25" s="260">
        <f>IF(T24=V24,AVERAGE(Q28:Q29)*W24,IF(T24=V25,AVERAGE(Q28:Q29)*W25,IF(T24=V26,AVERAGE(Q28:Q29)*W26,"errore o dati mancanti")))</f>
        <v>0</v>
      </c>
      <c r="U25" s="795"/>
      <c r="V25" s="53" t="s">
        <v>96</v>
      </c>
      <c r="W25" s="54">
        <v>1.3</v>
      </c>
      <c r="X25" s="170"/>
      <c r="Y25" s="170"/>
      <c r="Z25" s="170"/>
      <c r="AA25" s="4"/>
      <c r="AB25" s="4"/>
    </row>
    <row r="26" spans="2:28" ht="24.75" customHeight="1" thickBot="1"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856"/>
      <c r="Q26" s="857"/>
      <c r="R26" s="177"/>
      <c r="S26" s="395" t="s">
        <v>475</v>
      </c>
      <c r="T26" s="178"/>
      <c r="U26" s="796"/>
      <c r="V26" s="59" t="s">
        <v>101</v>
      </c>
      <c r="W26" s="54">
        <v>1.9</v>
      </c>
      <c r="X26" s="170"/>
      <c r="Y26" s="170"/>
      <c r="Z26" s="170"/>
      <c r="AA26" s="4"/>
      <c r="AB26" s="4"/>
    </row>
    <row r="27" spans="2:28" ht="24.75" customHeight="1">
      <c r="B27" s="81" t="s">
        <v>165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140"/>
      <c r="O27" s="4"/>
      <c r="P27" s="49"/>
      <c r="Q27" s="179"/>
      <c r="R27" s="44"/>
      <c r="S27" s="180"/>
      <c r="T27" s="180"/>
      <c r="U27" s="170"/>
      <c r="V27" s="241"/>
      <c r="W27" s="170"/>
      <c r="X27" s="170"/>
      <c r="Y27" s="170"/>
      <c r="Z27" s="170"/>
      <c r="AA27" s="4"/>
      <c r="AB27" s="4"/>
    </row>
    <row r="28" spans="2:28" ht="24.75" customHeight="1">
      <c r="B28" s="85" t="s">
        <v>222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92"/>
      <c r="O28" s="4"/>
      <c r="P28" s="55" t="s">
        <v>186</v>
      </c>
      <c r="Q28" s="56">
        <v>0</v>
      </c>
      <c r="R28" s="44"/>
      <c r="S28" s="632" t="s">
        <v>187</v>
      </c>
      <c r="T28" s="804"/>
      <c r="U28" s="794" t="s">
        <v>188</v>
      </c>
      <c r="V28" s="791" t="s">
        <v>189</v>
      </c>
      <c r="W28" s="792"/>
      <c r="X28" s="792"/>
      <c r="Y28" s="792"/>
      <c r="Z28" s="792"/>
      <c r="AA28" s="859"/>
      <c r="AB28" s="860"/>
    </row>
    <row r="29" spans="2:28" ht="24.75" customHeight="1">
      <c r="B29" s="91" t="s">
        <v>115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92"/>
      <c r="O29" s="4"/>
      <c r="P29" s="55" t="s">
        <v>191</v>
      </c>
      <c r="Q29" s="56">
        <v>0</v>
      </c>
      <c r="R29" s="44"/>
      <c r="S29" s="143" t="s">
        <v>192</v>
      </c>
      <c r="T29" s="181" t="s">
        <v>193</v>
      </c>
      <c r="U29" s="795"/>
      <c r="V29" s="242" t="s">
        <v>194</v>
      </c>
      <c r="W29" s="242" t="s">
        <v>193</v>
      </c>
      <c r="X29" s="242" t="s">
        <v>195</v>
      </c>
      <c r="Y29" s="242" t="s">
        <v>196</v>
      </c>
      <c r="Z29" s="242" t="s">
        <v>432</v>
      </c>
      <c r="AA29" s="242" t="s">
        <v>433</v>
      </c>
      <c r="AB29" s="242" t="s">
        <v>434</v>
      </c>
    </row>
    <row r="30" spans="2:28" ht="24.75" customHeight="1">
      <c r="B30" s="94" t="s">
        <v>169</v>
      </c>
      <c r="C30" s="4"/>
      <c r="D30" s="4"/>
      <c r="E30" s="392"/>
      <c r="F30" s="4"/>
      <c r="G30" s="4"/>
      <c r="H30" s="4"/>
      <c r="I30" s="4"/>
      <c r="J30" s="4"/>
      <c r="K30" s="4"/>
      <c r="L30" s="202"/>
      <c r="M30" s="202"/>
      <c r="N30" s="203"/>
      <c r="O30" s="4"/>
      <c r="P30" s="55"/>
      <c r="Q30" s="50"/>
      <c r="R30" s="44"/>
      <c r="S30" s="182" t="s">
        <v>223</v>
      </c>
      <c r="T30" s="472" t="s">
        <v>193</v>
      </c>
      <c r="U30" s="661"/>
      <c r="V30" s="175">
        <v>1</v>
      </c>
      <c r="W30" s="175">
        <v>0.81</v>
      </c>
      <c r="X30" s="175">
        <v>1.52</v>
      </c>
      <c r="Y30" s="175">
        <v>0.85</v>
      </c>
      <c r="Z30" s="175">
        <v>0.33</v>
      </c>
      <c r="AA30" s="175">
        <v>0.53</v>
      </c>
      <c r="AB30" s="175">
        <v>0.37</v>
      </c>
    </row>
    <row r="31" spans="2:28" ht="24.75" customHeight="1">
      <c r="B31" s="493" t="s">
        <v>467</v>
      </c>
      <c r="C31" s="204"/>
      <c r="D31" s="148" t="s">
        <v>172</v>
      </c>
      <c r="E31" s="513">
        <v>0</v>
      </c>
      <c r="F31" s="4"/>
      <c r="G31" s="148" t="s">
        <v>173</v>
      </c>
      <c r="H31" s="513">
        <v>0</v>
      </c>
      <c r="I31" s="205"/>
      <c r="J31" s="149" t="s">
        <v>224</v>
      </c>
      <c r="K31" s="184">
        <f>E31+0.6*H31</f>
        <v>0</v>
      </c>
      <c r="L31" s="4"/>
      <c r="M31" s="206"/>
      <c r="N31" s="207" t="s">
        <v>126</v>
      </c>
      <c r="O31" s="4"/>
      <c r="P31" s="62" t="s">
        <v>102</v>
      </c>
      <c r="Q31" s="183">
        <f>T31</f>
        <v>0</v>
      </c>
      <c r="R31" s="44"/>
      <c r="S31" s="496" t="s">
        <v>453</v>
      </c>
      <c r="T31" s="473">
        <f>IF(AND(T29=W29,T30=W29),T25*V30,IF(AND(T29=X29,T30=X29),T25*V30,IF(AND(T29=Y29,T30=Y29),T25*V30,IF(AND(T29=Z29,T30=Z29),T25*V30,IF(AND(T29=AA29,T30=AA29),T25*V30,IF(AND(T29=AB29,T30=AB29),T25*V30,IF(AND(T29=V29,T30=W29),T25*W30,IF(AND(T29=V29,T30=X29),T25*X30,IF(AND(T29=V29,T30=Y29),T25*Y30,IF(AND(T29=V29,T30=Z29),T25*Z30,IF(AND(T29=V29,T30=AA29),T25*AA30,IF(AND(T29=V29,T30=AB29),T25*AB30,"errore/dati mancanti"))))))))))))</f>
        <v>0</v>
      </c>
      <c r="U31" s="4"/>
      <c r="V31" s="4"/>
      <c r="W31" s="4"/>
      <c r="X31" s="4"/>
      <c r="Y31" s="4"/>
      <c r="Z31" s="4"/>
      <c r="AA31" s="4"/>
      <c r="AB31" s="4"/>
    </row>
    <row r="32" spans="2:28" s="44" customFormat="1" ht="24.75" customHeight="1">
      <c r="B32" s="94" t="s">
        <v>176</v>
      </c>
      <c r="C32" s="4"/>
      <c r="D32" s="4"/>
      <c r="E32" s="495" t="s">
        <v>470</v>
      </c>
      <c r="F32" s="4"/>
      <c r="G32" s="4"/>
      <c r="H32" s="4"/>
      <c r="I32" s="4"/>
      <c r="J32" s="4"/>
      <c r="K32" s="4"/>
      <c r="L32" s="202"/>
      <c r="M32" s="202"/>
      <c r="N32" s="207" t="s">
        <v>129</v>
      </c>
      <c r="P32" s="496" t="s">
        <v>358</v>
      </c>
      <c r="S32" s="4"/>
      <c r="T32" s="4"/>
      <c r="U32" s="4"/>
      <c r="V32" s="4"/>
      <c r="W32" s="4"/>
      <c r="X32" s="4"/>
      <c r="Y32" s="4"/>
      <c r="Z32" s="4"/>
    </row>
    <row r="33" spans="2:32" ht="24.75" customHeight="1">
      <c r="B33" s="94" t="s">
        <v>225</v>
      </c>
      <c r="C33" s="4"/>
      <c r="D33" s="4"/>
      <c r="E33" s="4"/>
      <c r="F33" s="4"/>
      <c r="G33" s="4"/>
      <c r="H33" s="4"/>
      <c r="I33" s="4"/>
      <c r="J33" s="4"/>
      <c r="K33" s="4"/>
      <c r="L33" s="202"/>
      <c r="M33" s="202"/>
      <c r="N33" s="208"/>
      <c r="O33" s="4"/>
      <c r="P33" s="497" t="s">
        <v>359</v>
      </c>
      <c r="Q33" s="4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2:32" ht="24.75" customHeight="1">
      <c r="B34" s="848" t="s">
        <v>226</v>
      </c>
      <c r="C34" s="827"/>
      <c r="D34" s="827"/>
      <c r="E34" s="827"/>
      <c r="F34" s="827"/>
      <c r="G34" s="827"/>
      <c r="H34" s="827"/>
      <c r="I34" s="827"/>
      <c r="J34" s="209"/>
      <c r="K34" s="210"/>
      <c r="L34" s="187">
        <f>HLOOKUP(N34,B48:Q49,2,0)</f>
        <v>7</v>
      </c>
      <c r="M34" s="188" t="s">
        <v>227</v>
      </c>
      <c r="N34" s="189" t="s">
        <v>204</v>
      </c>
      <c r="O34" s="4"/>
      <c r="P34" s="44"/>
      <c r="Q34" s="504" t="s">
        <v>516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2:32" ht="9.9499999999999993" customHeight="1" thickBot="1">
      <c r="B35" s="190"/>
      <c r="C35" s="191"/>
      <c r="D35" s="191"/>
      <c r="E35" s="191"/>
      <c r="F35" s="191"/>
      <c r="G35" s="191"/>
      <c r="H35" s="191"/>
      <c r="I35" s="191"/>
      <c r="J35" s="4"/>
      <c r="K35" s="97"/>
      <c r="L35" s="205"/>
      <c r="M35" s="205"/>
      <c r="N35" s="185"/>
      <c r="O35" s="4"/>
      <c r="P35" s="44"/>
      <c r="Q35" s="4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2:32" ht="50.1" customHeight="1" thickBot="1">
      <c r="B36" s="788" t="s">
        <v>532</v>
      </c>
      <c r="C36" s="849"/>
      <c r="D36" s="849"/>
      <c r="E36" s="849"/>
      <c r="F36" s="849"/>
      <c r="G36" s="849"/>
      <c r="H36" s="849"/>
      <c r="I36" s="849"/>
      <c r="J36" s="849"/>
      <c r="K36" s="849"/>
      <c r="L36" s="849"/>
      <c r="M36" s="851"/>
      <c r="N36" s="517" t="s">
        <v>126</v>
      </c>
      <c r="O36" s="4"/>
      <c r="P36" s="44"/>
      <c r="Q36" s="505" t="s">
        <v>486</v>
      </c>
      <c r="R36" s="506" t="s">
        <v>1</v>
      </c>
      <c r="S36" s="507" t="s">
        <v>487</v>
      </c>
      <c r="T36" s="508" t="e">
        <f>(S37*S38*S39*1000)/S40</f>
        <v>#DIV/0!</v>
      </c>
      <c r="U36" s="509"/>
      <c r="V36" s="522" t="e">
        <f>T36/0.475</f>
        <v>#DIV/0!</v>
      </c>
      <c r="W36" s="852" t="s">
        <v>488</v>
      </c>
      <c r="X36" s="853"/>
      <c r="Y36" s="853"/>
      <c r="Z36" s="853"/>
      <c r="AA36" s="853"/>
      <c r="AB36" s="853"/>
      <c r="AC36" s="4"/>
      <c r="AD36" s="4"/>
      <c r="AE36" s="4"/>
      <c r="AF36" s="4"/>
    </row>
    <row r="37" spans="2:32" ht="24.75" customHeight="1" thickBot="1">
      <c r="B37" s="153"/>
      <c r="C37" s="211"/>
      <c r="D37" s="211"/>
      <c r="E37" s="211"/>
      <c r="F37" s="211"/>
      <c r="G37" s="211"/>
      <c r="H37" s="211"/>
      <c r="I37" s="211"/>
      <c r="J37" s="211"/>
      <c r="K37" s="211"/>
      <c r="L37" s="104"/>
      <c r="M37" s="212">
        <v>0</v>
      </c>
      <c r="N37" s="213">
        <v>35</v>
      </c>
      <c r="O37" s="4"/>
      <c r="P37" s="4"/>
      <c r="Q37" s="170" t="s">
        <v>406</v>
      </c>
      <c r="R37" s="170" t="s">
        <v>1</v>
      </c>
      <c r="S37" s="510">
        <v>0</v>
      </c>
      <c r="T37" s="511" t="s">
        <v>489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2:32" ht="30" customHeight="1" thickBot="1">
      <c r="B38" s="214"/>
      <c r="C38" s="215" t="s">
        <v>228</v>
      </c>
      <c r="D38" s="216"/>
      <c r="E38" s="216"/>
      <c r="F38" s="216"/>
      <c r="G38" s="862">
        <f>IF(N36="SI",G45,IF(N36="NO",G46))</f>
        <v>0</v>
      </c>
      <c r="H38" s="863"/>
      <c r="I38" s="863"/>
      <c r="J38" s="863"/>
      <c r="K38" s="216"/>
      <c r="L38" s="217"/>
      <c r="M38" s="215"/>
      <c r="N38" s="218"/>
      <c r="O38" s="4"/>
      <c r="P38" s="4"/>
      <c r="Q38" s="170" t="s">
        <v>490</v>
      </c>
      <c r="R38" s="170" t="s">
        <v>1</v>
      </c>
      <c r="S38" s="531">
        <v>0.40039999999999998</v>
      </c>
      <c r="T38" s="511" t="s">
        <v>491</v>
      </c>
      <c r="U38" s="4"/>
      <c r="V38" s="4"/>
      <c r="W38" s="4"/>
      <c r="X38" s="4"/>
      <c r="Y38" s="4"/>
      <c r="Z38" s="512" t="s">
        <v>492</v>
      </c>
      <c r="AA38" s="4"/>
      <c r="AB38" s="4"/>
      <c r="AC38" s="4"/>
      <c r="AD38" s="4"/>
      <c r="AE38" s="4"/>
      <c r="AF38" s="4"/>
    </row>
    <row r="39" spans="2:32" s="4" customFormat="1" ht="24.75" customHeight="1">
      <c r="K39" s="219"/>
      <c r="L39" s="220"/>
      <c r="M39" s="221"/>
      <c r="N39" s="204" t="s">
        <v>360</v>
      </c>
      <c r="Q39" s="170" t="s">
        <v>493</v>
      </c>
      <c r="R39" s="170" t="s">
        <v>1</v>
      </c>
      <c r="S39" s="532">
        <v>95.21</v>
      </c>
      <c r="T39" s="511" t="s">
        <v>514</v>
      </c>
      <c r="Y39" s="12"/>
      <c r="Z39" s="514" t="s">
        <v>494</v>
      </c>
    </row>
    <row r="40" spans="2:32" s="222" customFormat="1" ht="24.75" customHeight="1">
      <c r="N40" s="204" t="s">
        <v>361</v>
      </c>
      <c r="Q40" s="170" t="s">
        <v>495</v>
      </c>
      <c r="R40" s="170" t="s">
        <v>1</v>
      </c>
      <c r="S40" s="513">
        <v>0</v>
      </c>
      <c r="T40" s="511" t="s">
        <v>496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2:32" s="222" customFormat="1" ht="24.75" customHeight="1">
      <c r="B41" s="4"/>
      <c r="C41" s="4"/>
      <c r="D41" s="4"/>
      <c r="E41" s="4"/>
      <c r="F41" s="4"/>
      <c r="G41" s="4"/>
      <c r="H41" s="4"/>
      <c r="I41" s="4"/>
      <c r="J41" s="4"/>
      <c r="Q41" s="4"/>
      <c r="R41" s="4"/>
      <c r="S41" s="515" t="s">
        <v>497</v>
      </c>
      <c r="T41" s="516" t="s">
        <v>525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2:32" ht="24.7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16" t="s">
        <v>515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4" spans="2:32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2:32" ht="20.100000000000001" hidden="1" customHeight="1">
      <c r="B45" s="222"/>
      <c r="C45" s="223" t="s">
        <v>229</v>
      </c>
      <c r="D45" s="222"/>
      <c r="E45" s="222"/>
      <c r="F45" s="222"/>
      <c r="G45" s="861">
        <f>C25*K31*N19*0.5*L34/100*(1-N37/100)</f>
        <v>0</v>
      </c>
      <c r="H45" s="864"/>
      <c r="I45" s="864"/>
      <c r="J45" s="86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2:32" ht="20.100000000000001" hidden="1" customHeight="1">
      <c r="B46" s="222"/>
      <c r="C46" s="223" t="s">
        <v>229</v>
      </c>
      <c r="D46" s="222"/>
      <c r="E46" s="222"/>
      <c r="F46" s="222"/>
      <c r="G46" s="861">
        <f>C25*K31*N19*0.5*L34/100*(1-M37/100)</f>
        <v>0</v>
      </c>
      <c r="H46" s="861"/>
      <c r="I46" s="861"/>
      <c r="J46" s="86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2:32" ht="20.100000000000001" hidden="1" customHeight="1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2:32" ht="20.100000000000001" hidden="1" customHeight="1">
      <c r="B48" s="195" t="s">
        <v>204</v>
      </c>
      <c r="C48" s="195" t="s">
        <v>205</v>
      </c>
      <c r="D48" s="195" t="s">
        <v>201</v>
      </c>
      <c r="E48" s="195" t="s">
        <v>206</v>
      </c>
      <c r="F48" s="195" t="s">
        <v>207</v>
      </c>
      <c r="G48" s="195" t="s">
        <v>208</v>
      </c>
      <c r="H48" s="195" t="s">
        <v>209</v>
      </c>
      <c r="I48" s="195" t="s">
        <v>210</v>
      </c>
      <c r="J48" s="196" t="s">
        <v>211</v>
      </c>
      <c r="K48" s="196" t="s">
        <v>212</v>
      </c>
      <c r="L48" s="196" t="s">
        <v>213</v>
      </c>
      <c r="M48" s="196" t="s">
        <v>214</v>
      </c>
      <c r="N48" s="474" t="s">
        <v>215</v>
      </c>
      <c r="O48" s="196" t="s">
        <v>216</v>
      </c>
      <c r="P48" s="196" t="s">
        <v>217</v>
      </c>
      <c r="Q48" s="196" t="s">
        <v>437</v>
      </c>
      <c r="R48" s="196" t="s">
        <v>218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2:18" ht="20.100000000000001" hidden="1" customHeight="1">
      <c r="B49" s="197">
        <v>7</v>
      </c>
      <c r="C49" s="197">
        <v>7</v>
      </c>
      <c r="D49" s="197">
        <v>7</v>
      </c>
      <c r="E49" s="197">
        <v>7</v>
      </c>
      <c r="F49" s="197">
        <v>7</v>
      </c>
      <c r="G49" s="197">
        <v>10</v>
      </c>
      <c r="H49" s="197">
        <v>10</v>
      </c>
      <c r="I49" s="197">
        <v>10</v>
      </c>
      <c r="J49" s="197">
        <v>7</v>
      </c>
      <c r="K49" s="197">
        <v>7</v>
      </c>
      <c r="L49" s="197">
        <v>7</v>
      </c>
      <c r="M49" s="197">
        <v>7</v>
      </c>
      <c r="N49" s="475">
        <v>7</v>
      </c>
      <c r="O49" s="197">
        <v>7</v>
      </c>
      <c r="P49" s="197">
        <v>7</v>
      </c>
      <c r="Q49" s="197">
        <v>7</v>
      </c>
      <c r="R49" s="197">
        <v>7</v>
      </c>
    </row>
    <row r="50" spans="2:18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</sheetData>
  <sheetProtection algorithmName="SHA-512" hashValue="uYFBnGZiXHoOObTCBRBUjaWRpS4mwGNmUjk9mulTmf53ZyAjwPNusyi7fPHP9QrJoJqzIxfMJD/gCZGVPKkbwA==" saltValue="9iPNruZLdQnLuyrrhDyS0A==" spinCount="100000" sheet="1" objects="1" scenarios="1" selectLockedCells="1"/>
  <mergeCells count="35">
    <mergeCell ref="C2:O2"/>
    <mergeCell ref="C3:O3"/>
    <mergeCell ref="B5:O5"/>
    <mergeCell ref="B8:C9"/>
    <mergeCell ref="D8:N8"/>
    <mergeCell ref="N11:N13"/>
    <mergeCell ref="L17:M17"/>
    <mergeCell ref="L18:M18"/>
    <mergeCell ref="B19:M19"/>
    <mergeCell ref="C23:G23"/>
    <mergeCell ref="H11:H13"/>
    <mergeCell ref="I11:I13"/>
    <mergeCell ref="J11:J13"/>
    <mergeCell ref="K11:K13"/>
    <mergeCell ref="L11:L13"/>
    <mergeCell ref="M11:M13"/>
    <mergeCell ref="C11:C13"/>
    <mergeCell ref="D11:D13"/>
    <mergeCell ref="E11:E13"/>
    <mergeCell ref="F11:F13"/>
    <mergeCell ref="G11:G13"/>
    <mergeCell ref="G46:J46"/>
    <mergeCell ref="S23:T23"/>
    <mergeCell ref="U23:W23"/>
    <mergeCell ref="U24:U26"/>
    <mergeCell ref="P25:Q26"/>
    <mergeCell ref="S28:T28"/>
    <mergeCell ref="U28:U30"/>
    <mergeCell ref="V28:AB28"/>
    <mergeCell ref="P23:Q23"/>
    <mergeCell ref="B34:I34"/>
    <mergeCell ref="B36:M36"/>
    <mergeCell ref="W36:AB36"/>
    <mergeCell ref="G38:J38"/>
    <mergeCell ref="G45:J45"/>
  </mergeCells>
  <conditionalFormatting sqref="L20:N20">
    <cfRule type="expression" dxfId="27" priority="6" stopIfTrue="1">
      <formula>$N$17&gt;0.5</formula>
    </cfRule>
  </conditionalFormatting>
  <conditionalFormatting sqref="Q31">
    <cfRule type="expression" dxfId="26" priority="3">
      <formula>$D$15="errore o dati mancanti"</formula>
    </cfRule>
  </conditionalFormatting>
  <conditionalFormatting sqref="T25">
    <cfRule type="expression" dxfId="25" priority="4">
      <formula>#REF!&lt;&gt;"errore o dati mancanti"</formula>
    </cfRule>
    <cfRule type="expression" dxfId="24" priority="5">
      <formula>#REF!="errore o dati mancanti"</formula>
    </cfRule>
  </conditionalFormatting>
  <conditionalFormatting sqref="T31">
    <cfRule type="expression" dxfId="23" priority="1">
      <formula>#REF!&lt;&gt;"errore o dati mancanti"</formula>
    </cfRule>
    <cfRule type="expression" dxfId="22" priority="2">
      <formula>#REF!="errore o dati mancanti"</formula>
    </cfRule>
  </conditionalFormatting>
  <dataValidations count="5">
    <dataValidation type="list" allowBlank="1" showInputMessage="1" showErrorMessage="1" sqref="N34">
      <formula1>$B$48:$Q$48</formula1>
    </dataValidation>
    <dataValidation type="list" allowBlank="1" showInputMessage="1" showErrorMessage="1" sqref="T24">
      <formula1>$V$24:$V$26</formula1>
    </dataValidation>
    <dataValidation type="list" allowBlank="1" showInputMessage="1" showErrorMessage="1" sqref="T29">
      <formula1>$V$29:$AB$29</formula1>
    </dataValidation>
    <dataValidation type="list" allowBlank="1" showInputMessage="1" showErrorMessage="1" sqref="T30">
      <formula1>$W$29:$AB$29</formula1>
    </dataValidation>
    <dataValidation type="list" allowBlank="1" showInputMessage="1" showErrorMessage="1" sqref="D10:M16">
      <formula1>$O$15:$O$16</formula1>
    </dataValidation>
  </dataValidations>
  <hyperlinks>
    <hyperlink ref="C23" r:id="rId1"/>
    <hyperlink ref="Z39" r:id="rId2"/>
    <hyperlink ref="Z38" r:id="rId3" display="https://statistica.regione.emilia-romagna.it/turismo/dati-preliminari"/>
  </hyperlinks>
  <pageMargins left="0.7" right="0.7" top="0.75" bottom="0.75" header="0.3" footer="0.3"/>
  <pageSetup paperSize="8" scale="55" orientation="landscape" horizontalDpi="1200" verticalDpi="1200" r:id="rId4"/>
  <ignoredErrors>
    <ignoredError sqref="N15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9</vt:i4>
      </vt:variant>
    </vt:vector>
  </HeadingPairs>
  <TitlesOfParts>
    <vt:vector size="22" baseType="lpstr">
      <vt:lpstr>STARCH</vt:lpstr>
      <vt:lpstr>VARIANTI</vt:lpstr>
      <vt:lpstr>NOTE IMPORTANTI PER IL CALCOLO</vt:lpstr>
      <vt:lpstr>Tabella Parametrica U1-U2</vt:lpstr>
      <vt:lpstr>Allegato_1Cs</vt:lpstr>
      <vt:lpstr>QCC (A)</vt:lpstr>
      <vt:lpstr>QCC (B)</vt:lpstr>
      <vt:lpstr>QCC (C)</vt:lpstr>
      <vt:lpstr>QCC (D)</vt:lpstr>
      <vt:lpstr>QCC (A.bis) cambio d'uso</vt:lpstr>
      <vt:lpstr>QCC (C.bis) cambio d'uso</vt:lpstr>
      <vt:lpstr>QCC (C.ter) cambio d'uso</vt:lpstr>
      <vt:lpstr>Guida Calcolo "A"</vt:lpstr>
      <vt:lpstr>Allegato_1Cs!Area_stampa</vt:lpstr>
      <vt:lpstr>'QCC (A)'!Area_stampa</vt:lpstr>
      <vt:lpstr>'QCC (A.bis) cambio d''uso'!Area_stampa</vt:lpstr>
      <vt:lpstr>'QCC (B)'!Area_stampa</vt:lpstr>
      <vt:lpstr>'QCC (C)'!Area_stampa</vt:lpstr>
      <vt:lpstr>'QCC (C.bis) cambio d''uso'!Area_stampa</vt:lpstr>
      <vt:lpstr>'QCC (C.ter) cambio d''uso'!Area_stampa</vt:lpstr>
      <vt:lpstr>'QCC (D)'!Area_stampa</vt:lpstr>
      <vt:lpstr>'Tabella Parametrica U1-U2'!Area_stampa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2022-06-10T13:15:26Z</cp:lastPrinted>
  <dcterms:created xsi:type="dcterms:W3CDTF">2006-09-16T00:00:00Z</dcterms:created>
  <dcterms:modified xsi:type="dcterms:W3CDTF">2025-03-24T08:27:55Z</dcterms:modified>
</cp:coreProperties>
</file>